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32" firstSheet="5" activeTab="14"/>
  </bookViews>
  <sheets>
    <sheet name="PRÍJMY" sheetId="1" r:id="rId1"/>
    <sheet name="VÝDAVKY " sheetId="2" r:id="rId2"/>
    <sheet name="ORG.MESTA" sheetId="3" r:id="rId3"/>
    <sheet name="STAVBY" sheetId="4" r:id="rId4"/>
    <sheet name="ŠKOL.-TAB.5a" sheetId="5" r:id="rId5"/>
    <sheet name="ŠKOL.-TAB.5b" sheetId="6" r:id="rId6"/>
    <sheet name="ŠKOL.-TAB.5c" sheetId="7" r:id="rId7"/>
    <sheet name="ŠKOL.-TAB.5cd" sheetId="8" r:id="rId8"/>
    <sheet name="GRANTY" sheetId="9" r:id="rId9"/>
    <sheet name="PRÍSPEVKY" sheetId="10" r:id="rId10"/>
    <sheet name="FIN.VYSPORIAD." sheetId="11" r:id="rId11"/>
    <sheet name="POHĽADÁVKY-MESTO" sheetId="12" r:id="rId12"/>
    <sheet name="ZÁVAZKY-MESTO" sheetId="13" r:id="rId13"/>
    <sheet name="FONDY" sheetId="14" r:id="rId14"/>
    <sheet name="ÚVERY" sheetId="15" r:id="rId15"/>
  </sheets>
  <externalReferences>
    <externalReference r:id="rId18"/>
  </externalReferences>
  <definedNames>
    <definedName name="_xlnm.Print_Area" localSheetId="10">'FIN.VYSPORIAD.'!$A$1:$F$45</definedName>
    <definedName name="_xlnm.Print_Area" localSheetId="0">'PRÍJMY'!$A$1:$F$96</definedName>
    <definedName name="_xlnm.Print_Area" localSheetId="3">'STAVBY'!$A$1:$J$336</definedName>
    <definedName name="_xlnm.Print_Area" localSheetId="1">'VÝDAVKY '!$A$1:$F$588</definedName>
  </definedNames>
  <calcPr fullCalcOnLoad="1"/>
</workbook>
</file>

<file path=xl/comments1.xml><?xml version="1.0" encoding="utf-8"?>
<comments xmlns="http://schemas.openxmlformats.org/spreadsheetml/2006/main">
  <authors>
    <author>Slepickova</author>
    <author>Jansurova</author>
  </authors>
  <commentList>
    <comment ref="F6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40mil - na základe zmlúv -splátky
ostatné - predpokladaný predaj</t>
        </r>
      </text>
    </comment>
    <comment ref="E6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40mil - na základe zmlúv -splátky
ostatné - predpokladaný predaj</t>
        </r>
      </text>
    </comment>
    <comment ref="D6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40mil - na základe zmlúv -splátky
ostatné - predpokladaný predaj</t>
        </r>
      </text>
    </comment>
    <comment ref="C6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40mil - na základe zmlúv -splátky
ostatné - predpokladaný predaj</t>
        </r>
      </text>
    </comment>
    <comment ref="F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+ ŽK 2580</t>
        </r>
      </text>
    </comment>
    <comment ref="E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+ ŽK 2580</t>
        </r>
      </text>
    </comment>
    <comment ref="D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zmlúv 3 500
ostatné predpoklad</t>
        </r>
      </text>
    </comment>
    <comment ref="C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zmlúv 3 500
ostatné predpoklad</t>
        </r>
      </text>
    </comment>
    <comment ref="F6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kúpnych zmlúv</t>
        </r>
      </text>
    </comment>
    <comment ref="E6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kúpnych zmlúv</t>
        </r>
      </text>
    </comment>
    <comment ref="D6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kúpnych zmlúv</t>
        </r>
      </text>
    </comment>
    <comment ref="C6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kúpnych zmlúv</t>
        </r>
      </text>
    </comment>
    <comment ref="F2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nájomných zmlúv</t>
        </r>
      </text>
    </comment>
    <comment ref="E2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nájomných zmlúv</t>
        </r>
      </text>
    </comment>
    <comment ref="D2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nájomných zmlúv</t>
        </r>
      </text>
    </comment>
    <comment ref="C2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na základe nájomných zmlúv</t>
        </r>
      </text>
    </comment>
    <comment ref="F18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17607 - ŽPS
</t>
        </r>
      </text>
    </comment>
  </commentList>
</comments>
</file>

<file path=xl/comments15.xml><?xml version="1.0" encoding="utf-8"?>
<comments xmlns="http://schemas.openxmlformats.org/spreadsheetml/2006/main">
  <authors>
    <author>Slepickova</author>
  </authors>
  <commentList>
    <comment ref="G11" authorId="0">
      <text>
        <r>
          <rPr>
            <b/>
            <sz val="8"/>
            <rFont val="Tahoma"/>
            <family val="2"/>
          </rPr>
          <t>Slepickova:</t>
        </r>
        <r>
          <rPr>
            <sz val="8"/>
            <rFont val="Tahoma"/>
            <family val="2"/>
          </rPr>
          <t xml:space="preserve">
1.splátka :1/2008</t>
        </r>
      </text>
    </comment>
  </commentList>
</comments>
</file>

<file path=xl/comments2.xml><?xml version="1.0" encoding="utf-8"?>
<comments xmlns="http://schemas.openxmlformats.org/spreadsheetml/2006/main">
  <authors>
    <author>Slepickova</author>
    <author>Jansurova</author>
  </authors>
  <commentList>
    <comment ref="E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 2</t>
        </r>
      </text>
    </comment>
    <comment ref="F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 2</t>
        </r>
      </text>
    </comment>
    <comment ref="E1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 59</t>
        </r>
      </text>
    </comment>
    <comment ref="F1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 59</t>
        </r>
      </text>
    </comment>
    <comment ref="E2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právne -90</t>
        </r>
      </text>
    </comment>
    <comment ref="F2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právne -90</t>
        </r>
      </text>
    </comment>
    <comment ref="E3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 14 + 2400 KIA</t>
        </r>
      </text>
    </comment>
    <comment ref="F3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 14 + 2400 KIA</t>
        </r>
      </text>
    </comment>
    <comment ref="E3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 125
kia 1240 - náborové
569 - koordinácia pomoci - KIA
150 kurzy SJ -KIA</t>
        </r>
      </text>
    </comment>
    <comment ref="F3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 125
kia 1240 - náborové
569 - koordinácia pomoci - KIA
150 kurzy SJ -KIA</t>
        </r>
      </text>
    </comment>
    <comment ref="E3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 75</t>
        </r>
      </text>
    </comment>
    <comment ref="F3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 75</t>
        </r>
      </text>
    </comment>
    <comment ref="C4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nevyčerpaná KIA aj ŽI</t>
        </r>
      </text>
    </comment>
    <comment ref="E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</t>
        </r>
      </text>
    </comment>
    <comment ref="F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redetral</t>
        </r>
      </text>
    </comment>
    <comment ref="E1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500 - parkovačka</t>
        </r>
      </text>
    </comment>
    <comment ref="F1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500 - parkovačka</t>
        </r>
      </text>
    </comment>
    <comment ref="E27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11205 - regionálny rozvoj 07
1162 - v zmysle zmluvy</t>
        </r>
      </text>
    </comment>
    <comment ref="F27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11205 - regionálny rozvoj 07
1162 - v zmysle zmluvy</t>
        </r>
      </text>
    </comment>
    <comment ref="D3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2400 televízia</t>
        </r>
      </text>
    </comment>
    <comment ref="E3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2400 televízia</t>
        </r>
      </text>
    </comment>
    <comment ref="F3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2400 televízia</t>
        </r>
      </text>
    </comment>
    <comment ref="D41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telocvič.....atď
1 975</t>
        </r>
      </text>
    </comment>
    <comment ref="E41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telocvič.....atď
20 000 ako v príjmoch</t>
        </r>
      </text>
    </comment>
    <comment ref="F41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telocvič.....atď
20 000 ako v príjmoch</t>
        </r>
      </text>
    </comment>
    <comment ref="F413" authorId="1">
      <text>
        <r>
          <rPr>
            <b/>
            <sz val="8"/>
            <rFont val="Tahoma"/>
            <family val="2"/>
          </rPr>
          <t>Jansurova:</t>
        </r>
        <r>
          <rPr>
            <sz val="8"/>
            <rFont val="Tahoma"/>
            <family val="2"/>
          </rPr>
          <t xml:space="preserve">
+38 =odstupné ZŠ Oravská z financií mesta
</t>
        </r>
      </text>
    </comment>
    <comment ref="D41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950 tis. - príjmy</t>
        </r>
      </text>
    </comment>
    <comment ref="E41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950 tis. - príjmy</t>
        </r>
      </text>
    </comment>
    <comment ref="F41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950 tis. - príjmy</t>
        </r>
      </text>
    </comment>
    <comment ref="E49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licencie +1,6 mil.</t>
        </r>
      </text>
    </comment>
    <comment ref="F49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licencie +1,6 mil.</t>
        </r>
      </text>
    </comment>
    <comment ref="E50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klientske centrum</t>
        </r>
      </text>
    </comment>
    <comment ref="F50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klientske centrum</t>
        </r>
      </text>
    </comment>
    <comment ref="E50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Bánová kotol autisti 500</t>
        </r>
      </text>
    </comment>
    <comment ref="F50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Bánová kotol autisti 500</t>
        </r>
      </text>
    </comment>
    <comment ref="E51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kia 6285-vratka</t>
        </r>
      </text>
    </comment>
    <comment ref="F51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kia 6285-vratka</t>
        </r>
      </text>
    </comment>
    <comment ref="E52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úver, dotácia, vlastné zdroje a 18 000 preúčtova</t>
        </r>
      </text>
    </comment>
    <comment ref="F52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úver, dotácia, vlastné zdroje a 18 000 preúčtova</t>
        </r>
      </text>
    </comment>
  </commentList>
</comments>
</file>

<file path=xl/sharedStrings.xml><?xml version="1.0" encoding="utf-8"?>
<sst xmlns="http://schemas.openxmlformats.org/spreadsheetml/2006/main" count="2794" uniqueCount="1446">
  <si>
    <t>Slov. zväz telesne postihnutých</t>
  </si>
  <si>
    <t>Súťaž hasič.družstiev a mladých hasičov</t>
  </si>
  <si>
    <t>DHZ Trnové</t>
  </si>
  <si>
    <t xml:space="preserve">Na činnosť </t>
  </si>
  <si>
    <t>Deň matiek</t>
  </si>
  <si>
    <t>Únia žien Slovenska</t>
  </si>
  <si>
    <t>Majstrovstvá SR v Rapid šachu</t>
  </si>
  <si>
    <t>TJ Mladosť, Šachový oddiel</t>
  </si>
  <si>
    <t xml:space="preserve">Beh do Strečnianskych hradných schodov </t>
  </si>
  <si>
    <t>Občerstvenie účastníkov turnaja</t>
  </si>
  <si>
    <t>Slovenský spolok SCRABBLE</t>
  </si>
  <si>
    <t>Na činnosť PF č.6</t>
  </si>
  <si>
    <t>Miestny odbor Matice slovenskej BY</t>
  </si>
  <si>
    <t>Deň šedín a kvetín PF č. 6</t>
  </si>
  <si>
    <t>Slovenský červený kríž Bytčica</t>
  </si>
  <si>
    <t>Medzinárodný deň Rómov</t>
  </si>
  <si>
    <t>Združenie rómskych detí a mládeže</t>
  </si>
  <si>
    <t>Festival - Vysoké hory 2007</t>
  </si>
  <si>
    <t>Žilinský vysokohorský klub</t>
  </si>
  <si>
    <t>Svetová súťaž Intel ISEF</t>
  </si>
  <si>
    <t>Amavet asociácia pre mládež</t>
  </si>
  <si>
    <t>Cena pre najmladšieho účastníka</t>
  </si>
  <si>
    <t>Štátny komorný orchester</t>
  </si>
  <si>
    <t>Stredoeurópsky festival koncert. umenia</t>
  </si>
  <si>
    <t>Hudobné centrum</t>
  </si>
  <si>
    <t>Najmilší koncert roka</t>
  </si>
  <si>
    <t>Úsmev ako dar</t>
  </si>
  <si>
    <t>Operácia dcéry Reneé</t>
  </si>
  <si>
    <t>René Svrček - Repre</t>
  </si>
  <si>
    <t>Lyžiarske preteky</t>
  </si>
  <si>
    <t>Andrea Šošková - Repre</t>
  </si>
  <si>
    <t xml:space="preserve">Cestovné náklady </t>
  </si>
  <si>
    <t>ŽU ústav TV</t>
  </si>
  <si>
    <t>Školská jedáleň PF č. 7</t>
  </si>
  <si>
    <t>ZŠ Závodie</t>
  </si>
  <si>
    <t>Carneval Slovakia Žilina III</t>
  </si>
  <si>
    <t>Učel</t>
  </si>
  <si>
    <t>Dot.č.</t>
  </si>
  <si>
    <t>Granty za rok 2007</t>
  </si>
  <si>
    <t>x</t>
  </si>
  <si>
    <t>Príspevky na rok 2007</t>
  </si>
  <si>
    <t>Ú č e t</t>
  </si>
  <si>
    <t>P o h ľ a d á v k y</t>
  </si>
  <si>
    <t>Celkom - Sk</t>
  </si>
  <si>
    <t>z  toho</t>
  </si>
  <si>
    <t xml:space="preserve"> krátkodobé</t>
  </si>
  <si>
    <t xml:space="preserve"> dlhodobé</t>
  </si>
  <si>
    <t xml:space="preserve"> vo vymáhaní</t>
  </si>
  <si>
    <t>311 -  10</t>
  </si>
  <si>
    <t>Odberatelia - pohľ. po MŠK</t>
  </si>
  <si>
    <t>Poskytnuté prevádzkové preddavky</t>
  </si>
  <si>
    <t>315 - xxx</t>
  </si>
  <si>
    <t>Iné pohľadávky (stravné-DJ,VPP,MsP,jed.MsÚ)</t>
  </si>
  <si>
    <t>315 -   02</t>
  </si>
  <si>
    <t>Poplatok za vodu</t>
  </si>
  <si>
    <t>315 -   15</t>
  </si>
  <si>
    <t>Pohľ. - nájomné zmluvy</t>
  </si>
  <si>
    <t>315 -   24</t>
  </si>
  <si>
    <t>Pohľ. - poplatky za znečistenie</t>
  </si>
  <si>
    <t>315 -   61</t>
  </si>
  <si>
    <t>Pohľ. - refundácie z min. rokov</t>
  </si>
  <si>
    <t>315 -   70</t>
  </si>
  <si>
    <t>SU - pohľadávky</t>
  </si>
  <si>
    <t>315 - 145</t>
  </si>
  <si>
    <t>Iné pohľadávky - KD Vlčince</t>
  </si>
  <si>
    <t>315 - 201</t>
  </si>
  <si>
    <t>OPHP - popl. chaty</t>
  </si>
  <si>
    <t>315 - 204</t>
  </si>
  <si>
    <t>Opatrov. služby - soc.</t>
  </si>
  <si>
    <t>315 - 219</t>
  </si>
  <si>
    <t>MP - odťahová služba</t>
  </si>
  <si>
    <t>315 - 226</t>
  </si>
  <si>
    <t>Poplatky za výherné prístroje</t>
  </si>
  <si>
    <t>315 - 240</t>
  </si>
  <si>
    <t>Pohľ. po likvid. podnikoch -  PS II.</t>
  </si>
  <si>
    <t>315 - 340</t>
  </si>
  <si>
    <t>Pohľ. po likvid. podnikoch - PS HV</t>
  </si>
  <si>
    <t>315 - 402</t>
  </si>
  <si>
    <t>Pohľ. po likvid. podnikoch - Mototrans</t>
  </si>
  <si>
    <t>315 - 409</t>
  </si>
  <si>
    <t>Pohľ. po likvid. podnikoch - Kovoslužba</t>
  </si>
  <si>
    <t>315 - 410</t>
  </si>
  <si>
    <t>Pohľ. po likvid. podnikoch - Obnova</t>
  </si>
  <si>
    <t>315 - 812 1</t>
  </si>
  <si>
    <t>Pôžička MsHK</t>
  </si>
  <si>
    <t>315 - 812 3</t>
  </si>
  <si>
    <t>Pôžička Reštaurácie</t>
  </si>
  <si>
    <t>315 - 813</t>
  </si>
  <si>
    <t>Letisko - fin. výpomoc</t>
  </si>
  <si>
    <t>315 - 21-22</t>
  </si>
  <si>
    <t>Pohľ.  - kúpne zmluvy</t>
  </si>
  <si>
    <t>315 - 21-77,22-77</t>
  </si>
  <si>
    <t>Pohľ.  - predaj bytov</t>
  </si>
  <si>
    <t>315 -   26</t>
  </si>
  <si>
    <t>Lokalizačný poplatok</t>
  </si>
  <si>
    <t>315 - 27-219</t>
  </si>
  <si>
    <t>G. Varnai - dohoda</t>
  </si>
  <si>
    <t>316- 11</t>
  </si>
  <si>
    <t>316- xxx</t>
  </si>
  <si>
    <t>Preddavky (DJ,JD,KD,MsP )</t>
  </si>
  <si>
    <t>318 -   32</t>
  </si>
  <si>
    <t>Daň za psov</t>
  </si>
  <si>
    <t>318 -   34</t>
  </si>
  <si>
    <t>Daň z nehnuteľnosti</t>
  </si>
  <si>
    <t>318 - 211-1</t>
  </si>
  <si>
    <t>Daň za nevýh.hracie prístr.</t>
  </si>
  <si>
    <t>318 - 211-2</t>
  </si>
  <si>
    <t>Daň za pred.automaty</t>
  </si>
  <si>
    <t>318 - 211-3</t>
  </si>
  <si>
    <t>Daň za ubytovanie</t>
  </si>
  <si>
    <t>Refakturácie</t>
  </si>
  <si>
    <t>378 -   10</t>
  </si>
  <si>
    <t>MŠK-športoviská</t>
  </si>
  <si>
    <t>xxx</t>
  </si>
  <si>
    <t xml:space="preserve">   Mestský úrad Žilina  -  c e l k o m</t>
  </si>
  <si>
    <t xml:space="preserve">   MESTO ŽILINA  -  c e l k o m</t>
  </si>
  <si>
    <t>Ostatné pohľadávky</t>
  </si>
  <si>
    <t>Kúpne zmluvy, pred. Byty</t>
  </si>
  <si>
    <t>Odberatelia</t>
  </si>
  <si>
    <t xml:space="preserve">   Bytterm, a.s. Žilina</t>
  </si>
  <si>
    <t>Záväzky voči zamestnancom spolu</t>
  </si>
  <si>
    <t>z toho:    - ostatné</t>
  </si>
  <si>
    <t>z toho:   - mylné platby k príjm. účtu</t>
  </si>
  <si>
    <t>z toho:   - ostatní dodávatelia - MŠK</t>
  </si>
  <si>
    <t>Krátkodobé záväzky</t>
  </si>
  <si>
    <t xml:space="preserve"> DEXIA-ŠFRB č. 511/558/07</t>
  </si>
  <si>
    <t xml:space="preserve"> DEXIA-ŠFRB č. 511/554/07</t>
  </si>
  <si>
    <t xml:space="preserve"> DEXIA-ŠFRB č. 511/552/07</t>
  </si>
  <si>
    <t xml:space="preserve"> OTP-ŠFRB č. 511/535/06</t>
  </si>
  <si>
    <t xml:space="preserve"> OTP-ŠFRB č. 511/534/06</t>
  </si>
  <si>
    <t xml:space="preserve"> OTP-ŠFRB č. 511/869/05</t>
  </si>
  <si>
    <t xml:space="preserve"> OTP-ŠFRB č. 511/868/05</t>
  </si>
  <si>
    <t xml:space="preserve"> OTP-ŠFRB č. 511/625/05</t>
  </si>
  <si>
    <t xml:space="preserve"> OTP-ŠFRB č. 511/1328/04</t>
  </si>
  <si>
    <t xml:space="preserve"> OTP-ŠFRB č. 511/230/04</t>
  </si>
  <si>
    <t>- Dlhodobé bankové úvery - ŠFRB :                (účet 959)</t>
  </si>
  <si>
    <t>DEXIA č. 02/08/07</t>
  </si>
  <si>
    <t>DEXIA č. 02/143/06</t>
  </si>
  <si>
    <t>DEXIA č. 02/417/05</t>
  </si>
  <si>
    <t>DEXIA č. 02/078/04 ( 25 3)</t>
  </si>
  <si>
    <t>DEXIA č. 02/078/04 ( 19 3)</t>
  </si>
  <si>
    <t>- Dlhodobé bankové úvery :                            (účet 951)</t>
  </si>
  <si>
    <t>- Emit.dlhopisy (komunálne obligácie)           (účet 953)</t>
  </si>
  <si>
    <t>Dlhodobé záväzky</t>
  </si>
  <si>
    <t>Z á v ä z k y  k  31.12.2007</t>
  </si>
  <si>
    <t xml:space="preserve">                - zrážky z platov zamestnancov</t>
  </si>
  <si>
    <t xml:space="preserve">                - poplatky-školstvo</t>
  </si>
  <si>
    <t xml:space="preserve">                - výnosy z dot. účtov</t>
  </si>
  <si>
    <t xml:space="preserve">               - prevzaté záväzky Pod.služieb HV v likv. - archív</t>
  </si>
  <si>
    <t xml:space="preserve">               - prevzaté záväzky Pod.služieb Zc v likv.- archív</t>
  </si>
  <si>
    <t xml:space="preserve">               - prevzaté záväzky z Pod.služieb II.</t>
  </si>
  <si>
    <t xml:space="preserve">               - opatrov.služba - mylné platby (036)</t>
  </si>
  <si>
    <t xml:space="preserve">               - matrika - mylné platby (055)</t>
  </si>
  <si>
    <t xml:space="preserve">               - MsÚ - mylné platby (001)</t>
  </si>
  <si>
    <t xml:space="preserve">               - dodávatelia - bežné výdavky (MsP)</t>
  </si>
  <si>
    <t xml:space="preserve">               - dodávatelia - bežné výdavky</t>
  </si>
  <si>
    <t xml:space="preserve">               - rozvojové programy</t>
  </si>
  <si>
    <t xml:space="preserve">               - dodávatelia - inv. výdavky</t>
  </si>
  <si>
    <t xml:space="preserve">               - prevzaté záväzky z Podniku služieb HV</t>
  </si>
  <si>
    <t xml:space="preserve">                     DEXIA-ŠFRB č. 2433/02</t>
  </si>
  <si>
    <t xml:space="preserve">                     DEXIA-ŠFRB č. 4135/01</t>
  </si>
  <si>
    <t xml:space="preserve">                     DEXIA-ŠFRB č. 4134/01</t>
  </si>
  <si>
    <t xml:space="preserve">   z toho :     DEXIA-ŠFRB č. 4133/01</t>
  </si>
  <si>
    <t xml:space="preserve">                    TATRABANKA</t>
  </si>
  <si>
    <t xml:space="preserve">   z toho :    DEXIA č. 02/108/01</t>
  </si>
  <si>
    <t xml:space="preserve">                              Stav pohľadávok k 31.12.2007</t>
  </si>
  <si>
    <t xml:space="preserve">Mesto  Žilina                            </t>
  </si>
  <si>
    <t>Mesto Žilina</t>
  </si>
  <si>
    <t>- Finančná výpomoc MF SR  (080)                 (účet 951)</t>
  </si>
  <si>
    <t xml:space="preserve">z toho:    - účet 331 - mzdy </t>
  </si>
  <si>
    <t xml:space="preserve">                - účet 336 - zúčtovanie NP</t>
  </si>
  <si>
    <t xml:space="preserve">                - účet 342 - daň z príjmu FO</t>
  </si>
  <si>
    <t xml:space="preserve">                - účet 346 - nedočer.dotácie</t>
  </si>
  <si>
    <t>- Finančná výpomoc MF SR  (037)                 (účet 951)</t>
  </si>
  <si>
    <t xml:space="preserve"> Mesto Žilina  -  c e l k o m</t>
  </si>
  <si>
    <t>Prijaté preddavky - spoloč.obec.úr.                     (účet 324)</t>
  </si>
  <si>
    <t>Ostatné záväzky                                                     (účet 325)</t>
  </si>
  <si>
    <t>Dodávatelia                                                            (účet 321)</t>
  </si>
  <si>
    <r>
      <rPr>
        <sz val="12"/>
        <color indexed="9"/>
        <rFont val="Arial CE"/>
        <family val="0"/>
      </rPr>
      <t>st</t>
    </r>
    <r>
      <rPr>
        <sz val="12"/>
        <rFont val="Arial CE"/>
        <family val="0"/>
      </rPr>
      <t>str. č. 2</t>
    </r>
  </si>
  <si>
    <t>Iné záväzky spolu                                             (účet 379)</t>
  </si>
  <si>
    <t>Príloha č. 4</t>
  </si>
  <si>
    <t>2005</t>
  </si>
  <si>
    <t>výstavba obyt.súboru Krasňany</t>
  </si>
  <si>
    <t>návratná fin.výpomoc</t>
  </si>
  <si>
    <t>MF SR</t>
  </si>
  <si>
    <t>2004</t>
  </si>
  <si>
    <t>výkup pozemkov pod závody</t>
  </si>
  <si>
    <t xml:space="preserve">Zostatok </t>
  </si>
  <si>
    <t>Účel</t>
  </si>
  <si>
    <t>Veriteľ / Banka</t>
  </si>
  <si>
    <t>Návratná finančná výpomoc zo ŠR</t>
  </si>
  <si>
    <t>prepojenie Vlčince - Solinky</t>
  </si>
  <si>
    <t>Dexia banka a.s.</t>
  </si>
  <si>
    <t>Emitent</t>
  </si>
  <si>
    <t>Záväzky z emisie dlhopisov</t>
  </si>
  <si>
    <t>výstavba nájomných bytov</t>
  </si>
  <si>
    <t>511/552/07</t>
  </si>
  <si>
    <t xml:space="preserve">ŠFRB - Dexia banka </t>
  </si>
  <si>
    <t>511/558/07</t>
  </si>
  <si>
    <t>511/554/07</t>
  </si>
  <si>
    <t>511/535/06</t>
  </si>
  <si>
    <t>ŠFRB - OTP banka</t>
  </si>
  <si>
    <t>511/534/06</t>
  </si>
  <si>
    <t>511/1328/04</t>
  </si>
  <si>
    <t>511/869/05</t>
  </si>
  <si>
    <t>511/868/05</t>
  </si>
  <si>
    <t>511/625/05</t>
  </si>
  <si>
    <t>511/230/04</t>
  </si>
  <si>
    <t>511/2433/02</t>
  </si>
  <si>
    <t>511/4135/01</t>
  </si>
  <si>
    <t>511/4134/01</t>
  </si>
  <si>
    <t>511/4133/01</t>
  </si>
  <si>
    <t>Štátny fond rozvoja bývania</t>
  </si>
  <si>
    <t>2007</t>
  </si>
  <si>
    <t>prevzatie dlhu-Parkovací dom</t>
  </si>
  <si>
    <t>2006</t>
  </si>
  <si>
    <t>splátka KO</t>
  </si>
  <si>
    <t>dlhodobý  inves.</t>
  </si>
  <si>
    <t>2003,2007</t>
  </si>
  <si>
    <t>investičná výstavba</t>
  </si>
  <si>
    <t>strednodob</t>
  </si>
  <si>
    <t>Tatra banka a.s.</t>
  </si>
  <si>
    <t>2001</t>
  </si>
  <si>
    <t>výstavba bytov</t>
  </si>
  <si>
    <t>Úvery</t>
  </si>
  <si>
    <t>Príloha č . 2</t>
  </si>
  <si>
    <t>Príloha č. 3</t>
  </si>
  <si>
    <t>Príloha č. 5</t>
  </si>
  <si>
    <t>Prehľad úverov a emisií dlhopisov k 31.12.2007</t>
  </si>
  <si>
    <t>Typ úveru</t>
  </si>
  <si>
    <t>Pôvodná výška úveru</t>
  </si>
  <si>
    <t>Dátum  poskytnutia</t>
  </si>
  <si>
    <t>Dátum splatnosti</t>
  </si>
  <si>
    <t>Ročná splátka istiny</t>
  </si>
  <si>
    <t>Zostatok  úveru</t>
  </si>
  <si>
    <t>Dátum poskytnutia</t>
  </si>
  <si>
    <t xml:space="preserve">Druh  úveru </t>
  </si>
  <si>
    <t>Pôvodná  výška úveru</t>
  </si>
  <si>
    <t xml:space="preserve">Zostatok úveru </t>
  </si>
  <si>
    <t>tab. č. 4</t>
  </si>
  <si>
    <t>tab. č. 6</t>
  </si>
  <si>
    <t>tab. č. 7</t>
  </si>
  <si>
    <t xml:space="preserve">Vydané </t>
  </si>
  <si>
    <t xml:space="preserve">Objem emisie v Sk </t>
  </si>
  <si>
    <t xml:space="preserve">Dátum splatnosti </t>
  </si>
  <si>
    <t xml:space="preserve">Ročná tvorba umor. fondu </t>
  </si>
  <si>
    <t>Za úžívanie verejného priestranstva / aj Žilinská park.spol. /</t>
  </si>
  <si>
    <t>Z prenajatých budov, priestorov, objektov /vr.ekonom.pren./</t>
  </si>
  <si>
    <t>Poplatky a platby z nepriemysel. a náhod.predaja služieb</t>
  </si>
  <si>
    <t>Zostatok prostr. z predch. období - účel.dotácia zo ŠR</t>
  </si>
  <si>
    <t>Nedaňové príjmy - administratív.poplatky a iné popl. a platby</t>
  </si>
  <si>
    <t>Všeobecná ekonom. a obchod. oblasť - jedáleň MÚ</t>
  </si>
  <si>
    <t>01.6.0</t>
  </si>
  <si>
    <t>01.3.3</t>
  </si>
  <si>
    <t>str. č. 15</t>
  </si>
  <si>
    <t>str. č. 16</t>
  </si>
  <si>
    <t>str. č. 17</t>
  </si>
  <si>
    <t>str. č. 18</t>
  </si>
  <si>
    <t>str. č. 19</t>
  </si>
  <si>
    <t>str. č. 20</t>
  </si>
  <si>
    <t>str. č. 21</t>
  </si>
  <si>
    <t>str. č. 22</t>
  </si>
  <si>
    <t>str. č. 23</t>
  </si>
  <si>
    <t>str. č. 24</t>
  </si>
  <si>
    <t>str. č. 25</t>
  </si>
  <si>
    <t>str. č. 26</t>
  </si>
  <si>
    <t>str. č. 27</t>
  </si>
  <si>
    <t>Ter.</t>
  </si>
  <si>
    <r>
      <rPr>
        <sz val="12"/>
        <color indexed="9"/>
        <rFont val="Arial CE"/>
        <family val="0"/>
      </rPr>
      <t>st</t>
    </r>
    <r>
      <rPr>
        <sz val="12"/>
        <rFont val="Arial CE"/>
        <family val="0"/>
      </rPr>
      <t>str. č. 1</t>
    </r>
  </si>
  <si>
    <t>Iné nedaňové príjmy - ostatné príjmy</t>
  </si>
  <si>
    <t>Iné príjmy  / spoločenská hodnota drevín /</t>
  </si>
  <si>
    <t>Dotácia - školstvo</t>
  </si>
  <si>
    <t>tab. č. 5a</t>
  </si>
  <si>
    <t>ZUŠ, CVČ, SSŠ kapitálové výdavky</t>
  </si>
  <si>
    <t>Základné školy kapitálové výdavky</t>
  </si>
  <si>
    <t>Materské školy kapitálové výdavky</t>
  </si>
  <si>
    <t xml:space="preserve">Centrum voľného času </t>
  </si>
  <si>
    <t>Základné umelecké školy</t>
  </si>
  <si>
    <t>Školské kluby detí</t>
  </si>
  <si>
    <t>Školské jedálne pri ZŠ</t>
  </si>
  <si>
    <t>Materské školy pri ZŠ</t>
  </si>
  <si>
    <t>Materské školy</t>
  </si>
  <si>
    <t>Čerpanie</t>
  </si>
  <si>
    <t>Rozpočet</t>
  </si>
  <si>
    <t>ORIGINÁLNE KOMPETENCIE</t>
  </si>
  <si>
    <t>Základné školy - nenormatívne</t>
  </si>
  <si>
    <t>Základné školy - normatívne</t>
  </si>
  <si>
    <t xml:space="preserve">Čerpanie </t>
  </si>
  <si>
    <t>PRENESENÉ KOMPETENCIE</t>
  </si>
  <si>
    <t>Čerpanie rozpočtu na rok 2007 - školstvo</t>
  </si>
  <si>
    <t>ZŠ s MŠ Školská, Závodie</t>
  </si>
  <si>
    <t>ZŠ s MŠ Sv. Gorazda</t>
  </si>
  <si>
    <t>ZŠ s MŠ Trnové</t>
  </si>
  <si>
    <t>ZŠ s MŠ Zádubnie</t>
  </si>
  <si>
    <t>čerpanie</t>
  </si>
  <si>
    <t>rozpočet</t>
  </si>
  <si>
    <t>Názov školy, škol. zar.</t>
  </si>
  <si>
    <t>PREVÁDZKA</t>
  </si>
  <si>
    <t>MZDY</t>
  </si>
  <si>
    <t>ZŠ Oravská cesta</t>
  </si>
  <si>
    <t>ZŠ V. Javorku, Hliny 5</t>
  </si>
  <si>
    <t>ZŠ Slov. dobrovoľ.,Budatín</t>
  </si>
  <si>
    <t>ZŠ Nám. Mladosti, Hájik</t>
  </si>
  <si>
    <t>ZŠ Mojšová Lúčka</t>
  </si>
  <si>
    <t>ZŠ Na stanicu 27, Bytčica</t>
  </si>
  <si>
    <t>ZŠ Martinská</t>
  </si>
  <si>
    <t>ZŠ Limbová</t>
  </si>
  <si>
    <t>ZŠ Lichardova, Hliny 8</t>
  </si>
  <si>
    <t>ZŠ Karpatská</t>
  </si>
  <si>
    <t>ZŠ Jarná, Hliny 7</t>
  </si>
  <si>
    <t>ZŠ Hollého</t>
  </si>
  <si>
    <t>ZŠ Gaštanová</t>
  </si>
  <si>
    <t>ZŠ Bánová</t>
  </si>
  <si>
    <t>Základné školy</t>
  </si>
  <si>
    <t>SSŠ</t>
  </si>
  <si>
    <t>CVČ a SSŠ</t>
  </si>
  <si>
    <t>ZUŠ Gaštanová</t>
  </si>
  <si>
    <t>ZUŠ Árvaya</t>
  </si>
  <si>
    <t>BEŽNÉ  VÝDAVKY</t>
  </si>
  <si>
    <t>Čerpanie rozpočtu na rok 2007  podľa školských zariadení</t>
  </si>
  <si>
    <t>tab. č. 5b</t>
  </si>
  <si>
    <t>tab. č. 5c</t>
  </si>
  <si>
    <t>Spolu :</t>
  </si>
  <si>
    <t>ZUŠ, CVČ, SSŠ</t>
  </si>
  <si>
    <t>MŠ Čajakova 4</t>
  </si>
  <si>
    <t>MŠ Puškinova 2165/3</t>
  </si>
  <si>
    <t>MŠ Budatín</t>
  </si>
  <si>
    <t>MŠ Stavbárska</t>
  </si>
  <si>
    <t>MŠ Petzvalova</t>
  </si>
  <si>
    <t>MŠ Nám J. Borodáča 6</t>
  </si>
  <si>
    <t>MŠ Limbová 26</t>
  </si>
  <si>
    <t>MŠ Lichardova</t>
  </si>
  <si>
    <t>MŠ Jarná 2602/7</t>
  </si>
  <si>
    <t>MŠ Do Stošky 5, Bánová</t>
  </si>
  <si>
    <t>MŠ A. Kmeťa 15</t>
  </si>
  <si>
    <t>ZŠ s MŠ Gorazda</t>
  </si>
  <si>
    <t>ZŠ Hájik</t>
  </si>
  <si>
    <t xml:space="preserve">ZŠ Limbová </t>
  </si>
  <si>
    <t>ZŠ Lichardova</t>
  </si>
  <si>
    <t>ZŠ Jarná</t>
  </si>
  <si>
    <t>ZŠ Javorku</t>
  </si>
  <si>
    <t>ZŠ s MŠ Závodie</t>
  </si>
  <si>
    <t>ZŠ Budatín</t>
  </si>
  <si>
    <t>ZŠ s MŠ  Brodno</t>
  </si>
  <si>
    <t>Základné školy - ŠJ, ŠKD, MŠ</t>
  </si>
  <si>
    <t>KAPITÁLOVÉ  VÝDAVKY</t>
  </si>
  <si>
    <r>
      <t>MŠ Mojšova Lúčka</t>
    </r>
    <r>
      <rPr>
        <sz val="12"/>
        <rFont val="Arial"/>
        <family val="2"/>
      </rPr>
      <t>, Rybné námestie 1, 01001</t>
    </r>
  </si>
  <si>
    <r>
      <t>MŠ Hájik</t>
    </r>
    <r>
      <rPr>
        <sz val="12"/>
        <rFont val="Arial"/>
        <family val="2"/>
      </rPr>
      <t>, Petzvalova 8, 01015</t>
    </r>
  </si>
  <si>
    <r>
      <t>MŠ Limbová 26</t>
    </r>
    <r>
      <rPr>
        <sz val="12"/>
        <rFont val="Arial"/>
        <family val="2"/>
      </rPr>
      <t>, 01007</t>
    </r>
  </si>
  <si>
    <r>
      <t>MŠ Trnavská 2830</t>
    </r>
    <r>
      <rPr>
        <sz val="12"/>
        <rFont val="Arial"/>
        <family val="2"/>
      </rPr>
      <t>, 01008</t>
    </r>
  </si>
  <si>
    <r>
      <t>MŠ Gemerská 1772</t>
    </r>
    <r>
      <rPr>
        <sz val="12"/>
        <rFont val="Arial"/>
        <family val="2"/>
      </rPr>
      <t>, 01008</t>
    </r>
  </si>
  <si>
    <r>
      <t>MŠ Nám. J. Borodáča 7</t>
    </r>
    <r>
      <rPr>
        <sz val="12"/>
        <rFont val="Arial"/>
        <family val="2"/>
      </rPr>
      <t>, 01008</t>
    </r>
  </si>
  <si>
    <r>
      <t>MŠ Nám. J. Borodáča 6</t>
    </r>
    <r>
      <rPr>
        <sz val="12"/>
        <rFont val="Arial"/>
        <family val="2"/>
      </rPr>
      <t>, 01008</t>
    </r>
  </si>
  <si>
    <r>
      <t>MŠ Hliny 8</t>
    </r>
    <r>
      <rPr>
        <sz val="12"/>
        <rFont val="Arial"/>
        <family val="2"/>
      </rPr>
      <t>, Lichardova 20, 01001</t>
    </r>
  </si>
  <si>
    <r>
      <t>MŠ Hliny 7</t>
    </r>
    <r>
      <rPr>
        <sz val="12"/>
        <rFont val="Arial"/>
        <family val="2"/>
      </rPr>
      <t>, Jarná 2602/7, 01001</t>
    </r>
  </si>
  <si>
    <r>
      <t>MŠ Hliny 6</t>
    </r>
    <r>
      <rPr>
        <sz val="12"/>
        <rFont val="Arial"/>
        <family val="2"/>
      </rPr>
      <t>, Bajzova 9, 01001</t>
    </r>
  </si>
  <si>
    <r>
      <t>MŠ Hliny 5</t>
    </r>
    <r>
      <rPr>
        <sz val="12"/>
        <rFont val="Arial"/>
        <family val="2"/>
      </rPr>
      <t>, V. Javorku 29, 01001</t>
    </r>
  </si>
  <si>
    <r>
      <t>MŠ Hliny 4,</t>
    </r>
    <r>
      <rPr>
        <sz val="12"/>
        <rFont val="Arial"/>
        <family val="2"/>
      </rPr>
      <t xml:space="preserve"> Čajakova 4, 01001</t>
    </r>
  </si>
  <si>
    <r>
      <t>MŠ Hliny 3</t>
    </r>
    <r>
      <rPr>
        <sz val="12"/>
        <rFont val="Arial"/>
        <family val="2"/>
      </rPr>
      <t>, Puškinova 2165/3, 01001</t>
    </r>
  </si>
  <si>
    <r>
      <t>MŠ Bôrik</t>
    </r>
    <r>
      <rPr>
        <sz val="12"/>
        <rFont val="Arial"/>
        <family val="2"/>
      </rPr>
      <t>, Stavbárska 4, 01001</t>
    </r>
  </si>
  <si>
    <r>
      <t>MŠ Predmestská 27</t>
    </r>
    <r>
      <rPr>
        <sz val="12"/>
        <rFont val="Arial"/>
        <family val="2"/>
      </rPr>
      <t>, 01001</t>
    </r>
  </si>
  <si>
    <r>
      <t>MŠ A. Kmeťa 15</t>
    </r>
    <r>
      <rPr>
        <sz val="12"/>
        <rFont val="Arial"/>
        <family val="2"/>
      </rPr>
      <t>, 01001</t>
    </r>
  </si>
  <si>
    <r>
      <t>MŠ Zástranie</t>
    </r>
    <r>
      <rPr>
        <sz val="12"/>
        <rFont val="Arial"/>
        <family val="2"/>
      </rPr>
      <t>, 01003</t>
    </r>
  </si>
  <si>
    <r>
      <t>MŠ Strážov</t>
    </r>
    <r>
      <rPr>
        <sz val="12"/>
        <rFont val="Arial"/>
        <family val="2"/>
      </rPr>
      <t>, Hričovská 1, 01001</t>
    </r>
  </si>
  <si>
    <r>
      <t>MŠ P. Chlmec</t>
    </r>
    <r>
      <rPr>
        <sz val="12"/>
        <rFont val="Arial"/>
        <family val="2"/>
      </rPr>
      <t>, Študentská 15/3, 01003</t>
    </r>
  </si>
  <si>
    <r>
      <t>MŠ Bytčica</t>
    </r>
    <r>
      <rPr>
        <sz val="12"/>
        <rFont val="Arial"/>
        <family val="2"/>
      </rPr>
      <t>, Pažitie, 01009</t>
    </r>
  </si>
  <si>
    <r>
      <t>MŠ Budatín</t>
    </r>
    <r>
      <rPr>
        <sz val="12"/>
        <rFont val="Arial"/>
        <family val="2"/>
      </rPr>
      <t>, K Vodojemu 4, 01003</t>
    </r>
  </si>
  <si>
    <r>
      <t>MŠ Bánová</t>
    </r>
    <r>
      <rPr>
        <sz val="12"/>
        <rFont val="Arial"/>
        <family val="2"/>
      </rPr>
      <t>, Do Stošky 5, 01004</t>
    </r>
  </si>
  <si>
    <t>tab. č. 5d</t>
  </si>
  <si>
    <t>str. č. 28</t>
  </si>
  <si>
    <t>str. č. 29</t>
  </si>
  <si>
    <t>str. č. 30</t>
  </si>
  <si>
    <t>str. č. 31</t>
  </si>
  <si>
    <t>str. č. 32</t>
  </si>
  <si>
    <t>Rozpočtovej organizácii - ZŠ-prenesené kompet.</t>
  </si>
  <si>
    <t xml:space="preserve">Splácanie tuzemskej istiny z bankových úverov </t>
  </si>
  <si>
    <t>Hospodársky výsledok (strata)</t>
  </si>
  <si>
    <t>Regionálny rozvoj - bež.dot.</t>
  </si>
  <si>
    <t>Regionálny rozvoj - kapit.dot.</t>
  </si>
  <si>
    <t>Neštátne školské zariadenia</t>
  </si>
  <si>
    <t>Poskytnutá dotácia</t>
  </si>
  <si>
    <t>RKC Biskup. Úrad Nitra</t>
  </si>
  <si>
    <t>RKC Farnosť Solinky</t>
  </si>
  <si>
    <t>Mgr. Nadežda Závodská</t>
  </si>
  <si>
    <t>Halač, s. r. o.</t>
  </si>
  <si>
    <t>JUVENTAS Žilina, n. o.</t>
  </si>
  <si>
    <t>v tis. Sk</t>
  </si>
  <si>
    <t>Bežné výdavky</t>
  </si>
  <si>
    <t>Rozpočet na rok 2007</t>
  </si>
  <si>
    <t>Plnenie k 30.6.2007</t>
  </si>
  <si>
    <t>Zmena  rozpočtu na rok 2007</t>
  </si>
  <si>
    <t>Mzdy, platy, sl.príjmy a ost.osobné vyrovnania</t>
  </si>
  <si>
    <t>Poistné a príspevok do poisťovní</t>
  </si>
  <si>
    <t>Tovary a služby</t>
  </si>
  <si>
    <t>z toho</t>
  </si>
  <si>
    <t>Cestovné náhrady</t>
  </si>
  <si>
    <t>Energie, voda a komunikácie</t>
  </si>
  <si>
    <t xml:space="preserve">Materiál </t>
  </si>
  <si>
    <t>Interiérové vybavenie</t>
  </si>
  <si>
    <t>633 002</t>
  </si>
  <si>
    <t>Výpočtová technika</t>
  </si>
  <si>
    <t>Telekom.technika</t>
  </si>
  <si>
    <t>Prev.stroje a zariad.</t>
  </si>
  <si>
    <t>Špeciálne stroje a zariadenia</t>
  </si>
  <si>
    <t>Všeobecný materiál</t>
  </si>
  <si>
    <t>Knihy, časopisy, noviny, učebnice, uč. pomôcky.....</t>
  </si>
  <si>
    <t>Pracovné odevy,obuv</t>
  </si>
  <si>
    <t>Softvér a licencie</t>
  </si>
  <si>
    <t>Palivá ako zdroj energie</t>
  </si>
  <si>
    <t>Reprezentačné</t>
  </si>
  <si>
    <t>Dopravné</t>
  </si>
  <si>
    <t>Poistenie</t>
  </si>
  <si>
    <t>Rutinná a štandartná údržba</t>
  </si>
  <si>
    <t>Nájomné za nájom</t>
  </si>
  <si>
    <t>Služby</t>
  </si>
  <si>
    <t>637 001</t>
  </si>
  <si>
    <t>Školenia, kurzy, semináre, porady, konferencie...</t>
  </si>
  <si>
    <t>Konkurzy,súťaže</t>
  </si>
  <si>
    <t>Propagácia, reklama a inzercia</t>
  </si>
  <si>
    <t>Všeobecné služby</t>
  </si>
  <si>
    <t>Špeciálne služby</t>
  </si>
  <si>
    <t>Náhrady</t>
  </si>
  <si>
    <t>Náhrady mzdy a platu</t>
  </si>
  <si>
    <t>Štúdie,expertízy,posudky</t>
  </si>
  <si>
    <t>Poplatky a odvody</t>
  </si>
  <si>
    <t>Stravovanie</t>
  </si>
  <si>
    <t>Poistné</t>
  </si>
  <si>
    <t>Prídel do sociálneho fondu</t>
  </si>
  <si>
    <t>Refundácie</t>
  </si>
  <si>
    <t>Kolkové známky</t>
  </si>
  <si>
    <t>Kurzové rozdiely</t>
  </si>
  <si>
    <t>Odmeny a príspevky-poslanci</t>
  </si>
  <si>
    <t>Odmeny zamestnancov mimopracovného pomeru</t>
  </si>
  <si>
    <t>Preddavky</t>
  </si>
  <si>
    <t>Mylné platby</t>
  </si>
  <si>
    <t>Bežné transfery</t>
  </si>
  <si>
    <t>Občianske združeniam a nadáciam</t>
  </si>
  <si>
    <t>Na členské</t>
  </si>
  <si>
    <t>Na odstupné</t>
  </si>
  <si>
    <t>Na odchodné</t>
  </si>
  <si>
    <t>Na nemocenské dávky</t>
  </si>
  <si>
    <t>Školenia, kurzy, semináre, porady, konferencie, symp.</t>
  </si>
  <si>
    <t>Školenia, kurzy, semináre, porady, konferencie......</t>
  </si>
  <si>
    <t>Príspevky- finančné vysporiadanie</t>
  </si>
  <si>
    <t>Finančné vysporiadanie DPMŽ</t>
  </si>
  <si>
    <t>Poplatky,odvody</t>
  </si>
  <si>
    <t>Splácanie úrokov v tuzemsku</t>
  </si>
  <si>
    <t>Banke a pobočke zahraničnej banky</t>
  </si>
  <si>
    <t>Energie</t>
  </si>
  <si>
    <t>Poštovné služby a telekomunikačné služby</t>
  </si>
  <si>
    <t>Materiál</t>
  </si>
  <si>
    <t>Budov, objektov alebo ich častí</t>
  </si>
  <si>
    <t>Špeciálny materiál</t>
  </si>
  <si>
    <t>Pracovné odevy, obuv a pracovné pomôcky</t>
  </si>
  <si>
    <t>Knihy,časopisy,noviny</t>
  </si>
  <si>
    <t>634 001</t>
  </si>
  <si>
    <t>Palivo, mazivá, oleje, špeciálne kvapaliny</t>
  </si>
  <si>
    <t>Servis, údržba, opravy a výdavky s tým spojené</t>
  </si>
  <si>
    <t>Špeciálnej techniky</t>
  </si>
  <si>
    <t>Policajné služby</t>
  </si>
  <si>
    <t>631 001</t>
  </si>
  <si>
    <t>Tuzemské</t>
  </si>
  <si>
    <t>Potraviny</t>
  </si>
  <si>
    <t>Prevádz.stroje a zariadenia</t>
  </si>
  <si>
    <t>pracovné odevy, náradie, materiál</t>
  </si>
  <si>
    <t xml:space="preserve">Štúdie,posudky </t>
  </si>
  <si>
    <t>Dotácie DPMŽ s.r.o.</t>
  </si>
  <si>
    <t>Transfery nadácii</t>
  </si>
  <si>
    <t>Vodné,stočné</t>
  </si>
  <si>
    <t xml:space="preserve">Údržba chodníkov </t>
  </si>
  <si>
    <t xml:space="preserve">Odvoz komunál.odpadov </t>
  </si>
  <si>
    <t>Údržba zelene</t>
  </si>
  <si>
    <t xml:space="preserve">Údržba cintorínov </t>
  </si>
  <si>
    <t>632 001</t>
  </si>
  <si>
    <t>Údržba</t>
  </si>
  <si>
    <t>Štúdie, expertízy a posudky</t>
  </si>
  <si>
    <t>Chata</t>
  </si>
  <si>
    <t>Prídel do sociálneho findu</t>
  </si>
  <si>
    <t>Bežný transfer</t>
  </si>
  <si>
    <t>Bežný transfer príspevkovej org. MKP+Športcentrum</t>
  </si>
  <si>
    <t>Bežný transfer občianskym združeniam</t>
  </si>
  <si>
    <t>Dotácia právnickým osobám - MsHK a.s.</t>
  </si>
  <si>
    <t>Bežný transfer príspevkovej org. - Mestské divadlo</t>
  </si>
  <si>
    <t>Bežný transfer cirkvi</t>
  </si>
  <si>
    <t>Transfery v rámci verejnej správy</t>
  </si>
  <si>
    <t>Rozpočtovej organizácii - školské jedálne pri ZŠ</t>
  </si>
  <si>
    <t>Rozpočtovej organizácii - školské kluby detí pri ZŠ</t>
  </si>
  <si>
    <t>Rozpočtovej organizácii - základné umelecké školy</t>
  </si>
  <si>
    <t>Rozpočtovej organizácii - CVČ</t>
  </si>
  <si>
    <t xml:space="preserve">Rozpočtovej organizácii </t>
  </si>
  <si>
    <t>Softvér</t>
  </si>
  <si>
    <t>Konkurzy a súťaže</t>
  </si>
  <si>
    <t>Cestovné</t>
  </si>
  <si>
    <t>Odchodné</t>
  </si>
  <si>
    <t>Špeciálne služby -pohreby</t>
  </si>
  <si>
    <t>Na dávku v hmotnej núdzi a príspevky k dávke</t>
  </si>
  <si>
    <t>Bežné výdavky spolu:</t>
  </si>
  <si>
    <t>Kapitálové výdavky</t>
  </si>
  <si>
    <t>Výdavky verejnej správy</t>
  </si>
  <si>
    <t>Nákup pozemkov</t>
  </si>
  <si>
    <t>Nákup softvéru</t>
  </si>
  <si>
    <t>Nákup licencií</t>
  </si>
  <si>
    <t>Nákup interiérového vybavenia</t>
  </si>
  <si>
    <t>Nákup výpočtovej techniky</t>
  </si>
  <si>
    <t>Nákup telekomunik.techniky</t>
  </si>
  <si>
    <t>Nákup prevádzk. strojov, prístr., zariadení....</t>
  </si>
  <si>
    <t>Realizácia nových stavieb</t>
  </si>
  <si>
    <t xml:space="preserve">Rekonštrukcie a modernizácie </t>
  </si>
  <si>
    <t>Rekonštrukcia a modernizácia  VT</t>
  </si>
  <si>
    <t>Rekonštrukcia a modernizácia prevádz.strojov</t>
  </si>
  <si>
    <t>Projektová dokumentácia</t>
  </si>
  <si>
    <t>Nákup osobných automobilov</t>
  </si>
  <si>
    <t>Nákup špec.strojov</t>
  </si>
  <si>
    <t>Ropa a zemný plyn</t>
  </si>
  <si>
    <t>Investície ( stavby)</t>
  </si>
  <si>
    <t>Kapitálový transfer na mestskú verejnú dopravu</t>
  </si>
  <si>
    <t>05.4.0</t>
  </si>
  <si>
    <t>Ochrana prírody a krajiny</t>
  </si>
  <si>
    <t xml:space="preserve">05.6.0 </t>
  </si>
  <si>
    <t>Ochrana životného prostredia</t>
  </si>
  <si>
    <t>06.1.0</t>
  </si>
  <si>
    <t>Rozvoj bývania</t>
  </si>
  <si>
    <t>06.3.0</t>
  </si>
  <si>
    <t>Zásobovanie vodou</t>
  </si>
  <si>
    <t>06.4.0</t>
  </si>
  <si>
    <t>Verejné osvetlenie</t>
  </si>
  <si>
    <t>08.1.0</t>
  </si>
  <si>
    <t>Rekreačné a športové služby</t>
  </si>
  <si>
    <t>Kapitálový transfer pre MKP a Športcentrum</t>
  </si>
  <si>
    <t xml:space="preserve">08.2.0 </t>
  </si>
  <si>
    <t>Kultúrne služby</t>
  </si>
  <si>
    <t>Divadlá</t>
  </si>
  <si>
    <t>Kapitálový transfer pre Mestské divadlo</t>
  </si>
  <si>
    <t xml:space="preserve">08.2.0.7 </t>
  </si>
  <si>
    <t>Pamiatková starostlivosť</t>
  </si>
  <si>
    <t>Náboženské služby</t>
  </si>
  <si>
    <t>Predškolská výchova - detské jasle</t>
  </si>
  <si>
    <t xml:space="preserve">Nákup prevádzk. strojov, prístr., zariadení, techniky </t>
  </si>
  <si>
    <t xml:space="preserve">10.2.0 </t>
  </si>
  <si>
    <t>Staroba - jedáleň dôchodcov,kluby dôchodcov</t>
  </si>
  <si>
    <t xml:space="preserve">09.1.1.1 </t>
  </si>
  <si>
    <t>Predškolská výchova - Materské školy</t>
  </si>
  <si>
    <t xml:space="preserve">Kapitálový transfer </t>
  </si>
  <si>
    <t>Základné vzdelanie</t>
  </si>
  <si>
    <t>kapitálový transfer</t>
  </si>
  <si>
    <t>Kapitálové výdavky spolu:</t>
  </si>
  <si>
    <t xml:space="preserve"> </t>
  </si>
  <si>
    <t xml:space="preserve">Výdavkové finančné operácie </t>
  </si>
  <si>
    <t>Účasť na majetku</t>
  </si>
  <si>
    <t>Bežné výdavky spolu</t>
  </si>
  <si>
    <t>Kapitálové výdavky spolu</t>
  </si>
  <si>
    <t>Výdavkové finančné operácie</t>
  </si>
  <si>
    <t>Rozpočtové výdavky spolu</t>
  </si>
  <si>
    <t>Sumarizácia</t>
  </si>
  <si>
    <t xml:space="preserve">Bežné príjmy </t>
  </si>
  <si>
    <t xml:space="preserve">Kapitálové príjmy </t>
  </si>
  <si>
    <t>Príjmové finančné operácie</t>
  </si>
  <si>
    <t>Rozpočtové príjmy spolu</t>
  </si>
  <si>
    <t>Bežný rozpočet</t>
  </si>
  <si>
    <t>Kapitálový rozpočet</t>
  </si>
  <si>
    <t>Finančné operácie</t>
  </si>
  <si>
    <t>Hospodárenie celkom</t>
  </si>
  <si>
    <t>tab.č.1</t>
  </si>
  <si>
    <t>Daňové príjmy - dane z príjmov, dane z majetku</t>
  </si>
  <si>
    <t>111 003</t>
  </si>
  <si>
    <t>Výnos dane z príjmov poukázany územnej samospráve</t>
  </si>
  <si>
    <t>Daň z nehnuteľností</t>
  </si>
  <si>
    <t>z  pozemkov</t>
  </si>
  <si>
    <t>zo  stavieb</t>
  </si>
  <si>
    <t>z bytov  a nebytových priestorov  v bytovom dome</t>
  </si>
  <si>
    <t>Daňové príjmy - dane za špecifické služby</t>
  </si>
  <si>
    <t>133 001</t>
  </si>
  <si>
    <t>Za psa</t>
  </si>
  <si>
    <t>133 003</t>
  </si>
  <si>
    <t>Za nevýherné hracie prístroje</t>
  </si>
  <si>
    <t>133 004</t>
  </si>
  <si>
    <t>Za predajné automaty</t>
  </si>
  <si>
    <t>133 005</t>
  </si>
  <si>
    <t>Za vjazd a zotrvanie motor.vozidla v hist.časti</t>
  </si>
  <si>
    <t>133 006</t>
  </si>
  <si>
    <t>Za ubytovanie</t>
  </si>
  <si>
    <t>133 012</t>
  </si>
  <si>
    <t>Ostatné dane z predch.období</t>
  </si>
  <si>
    <t>Nedaňové príjmy - príjmy z podnikania a z vlastníctva majetku</t>
  </si>
  <si>
    <t>Dividendy</t>
  </si>
  <si>
    <t>Z prenajatých pozemkov</t>
  </si>
  <si>
    <t>Z prenajatých budov, priestorov, objektov- školské zariadenia</t>
  </si>
  <si>
    <t>Administratívne poplatky</t>
  </si>
  <si>
    <t>Licencie / výherné hracie prístroje /</t>
  </si>
  <si>
    <t>Bytterm - správa bytového fondu  / 2.účtovný okruh /</t>
  </si>
  <si>
    <t>Za znečisťovanie ovzdušia</t>
  </si>
  <si>
    <t>Nedaňové príjmy - úroky z tuzemských úverov, pôžičiek.....</t>
  </si>
  <si>
    <t>Úroky z tuzemských úverov, pôžičiek....</t>
  </si>
  <si>
    <t>Z výťažkov z lotérií a iných podobných hier</t>
  </si>
  <si>
    <t>Ostatné príjmy /mylné platby,dobropisy..../</t>
  </si>
  <si>
    <t>Bežné granty a transfery</t>
  </si>
  <si>
    <t>Dotácia na prenesené kompetencie - školstvo</t>
  </si>
  <si>
    <t>Dotácia na prenesené kompetencie - matrika</t>
  </si>
  <si>
    <t>Dotácia na prenesené kompetencie - ŠFRB</t>
  </si>
  <si>
    <t>Dotácia na prenesené kompetencie - stavebný úrad</t>
  </si>
  <si>
    <t>Dotácia na prenesené kompetencie - evidencia obyvateľstva</t>
  </si>
  <si>
    <t>Dotácia na prenesené kompetencie - cestná doprava</t>
  </si>
  <si>
    <t>Dotácia na prenesené kompetencie - aktivačné práce</t>
  </si>
  <si>
    <t>Dotácia na prenesené kompetencie - životné prostredie</t>
  </si>
  <si>
    <t>Granty - REDETRAL   INTERREG IIIC</t>
  </si>
  <si>
    <t>Granty rôzne</t>
  </si>
  <si>
    <t>Účelová dotácia - vojnové hroby</t>
  </si>
  <si>
    <t>Účelová dotácia - Regionálny rozvoj - KIA</t>
  </si>
  <si>
    <t>Bežné príjmy spolu:</t>
  </si>
  <si>
    <t>Kapitálové príjmy</t>
  </si>
  <si>
    <t>Príjem z predaja bytov</t>
  </si>
  <si>
    <t>Príjem z predaja budov</t>
  </si>
  <si>
    <t>Z predaja pozemkov</t>
  </si>
  <si>
    <t>Tuzemské kapitálové granty a transfery</t>
  </si>
  <si>
    <t>Dotácia zo ŠR - na výstavbu nájomných bytov</t>
  </si>
  <si>
    <t>Dotácia zo ŠR - na výstavbu denného stacionára</t>
  </si>
  <si>
    <t>Zahraničné transfery</t>
  </si>
  <si>
    <t>Prostriedky z rozpočtu EÚ - na výstavbu denného stacionára</t>
  </si>
  <si>
    <t>Kapitálové príjmy spolu:</t>
  </si>
  <si>
    <t>Príjmy z ostatných finančných operácií</t>
  </si>
  <si>
    <t>Nefinančnej právnickej osoby ( akcie Letisko a.s.)</t>
  </si>
  <si>
    <t>Nefinančnej právnickej osoby ( akcie Garáže a.s.)</t>
  </si>
  <si>
    <t>Prevod prostriedkov z  fondov obce</t>
  </si>
  <si>
    <t>Tuzemské úvery, pôžičky a návratné finančné výpomoci</t>
  </si>
  <si>
    <t>Úvery zo ŠFRB</t>
  </si>
  <si>
    <t>Dlhodobé bankové úvery</t>
  </si>
  <si>
    <t>Príjmové finančné operácie spolu :</t>
  </si>
  <si>
    <t>SPOLU</t>
  </si>
  <si>
    <t>03.1.0</t>
  </si>
  <si>
    <t>Transfery právnickej osobe</t>
  </si>
  <si>
    <t>Organizácie Mesta Žilina</t>
  </si>
  <si>
    <t>Ukazovateľ</t>
  </si>
  <si>
    <t>m.j.</t>
  </si>
  <si>
    <t>Dopravný podnik mesta s.r.o.</t>
  </si>
  <si>
    <t>Vlastné príjmy</t>
  </si>
  <si>
    <t>Náklady neinvestičné</t>
  </si>
  <si>
    <t>Náklady investičné</t>
  </si>
  <si>
    <t>Mzdové prostriedky celkom</t>
  </si>
  <si>
    <t>Počet pracovníkov</t>
  </si>
  <si>
    <t>os</t>
  </si>
  <si>
    <t>Priemerná mesačná mzda</t>
  </si>
  <si>
    <t>Sk</t>
  </si>
  <si>
    <t>Limit na reprezentačné účely</t>
  </si>
  <si>
    <t>Mestské divadlo</t>
  </si>
  <si>
    <t>os.</t>
  </si>
  <si>
    <t>Počet predstavení</t>
  </si>
  <si>
    <t>Počet návštevníkov</t>
  </si>
  <si>
    <t>Mestská krytá plaváreň</t>
  </si>
  <si>
    <t>Sk.</t>
  </si>
  <si>
    <t>Plnenie   rozpočtu za rok 2007</t>
  </si>
  <si>
    <t>PLNENIE  ROZPOČTU MESTA ŽILINA ZA ROK 2007</t>
  </si>
  <si>
    <t xml:space="preserve"> PLNENIE ROZPOČTU MESTA ŽILINA ZA ROK 2007</t>
  </si>
  <si>
    <t>Pokuty, penále</t>
  </si>
  <si>
    <t>Splátka pôžičky od nefinančného subjektu</t>
  </si>
  <si>
    <t>Predaj cenných papierov - DEXIA banka Slovensko, a.s.</t>
  </si>
  <si>
    <t>Predaj majetkovej účasti - Žilinské komunikácie, a.s.</t>
  </si>
  <si>
    <t xml:space="preserve">Zostatok prostriedkov z predch. období </t>
  </si>
  <si>
    <t>Dotácia zo ŠR - KIA HYUNDAI</t>
  </si>
  <si>
    <t>Dotácia - výstavba miniihriska</t>
  </si>
  <si>
    <t>Dotácia z KÚ - Fond kriminality</t>
  </si>
  <si>
    <t>Dotácia Min. kultúry</t>
  </si>
  <si>
    <t>Dotácia - recyklačný fond</t>
  </si>
  <si>
    <t>Naturálne mzdy</t>
  </si>
  <si>
    <t>05.2.0</t>
  </si>
  <si>
    <t>Nakladanie s odpadovými vodami</t>
  </si>
  <si>
    <t>Záväzky MŠK</t>
  </si>
  <si>
    <t>Transfery neštátnym školským zariadeniam</t>
  </si>
  <si>
    <t>Transfery občianskemu združeniu, nadácii...</t>
  </si>
  <si>
    <t>Transfery cirkvi, náboženskej spoločnosti ...</t>
  </si>
  <si>
    <t>Jednotlivcovi</t>
  </si>
  <si>
    <t>Rutinná a štandardná údržba</t>
  </si>
  <si>
    <t>Rozpočtovej organizácii - originálne kompetencie</t>
  </si>
  <si>
    <t>Investície ( stavby) - miniihrisko ZŠ Trnové</t>
  </si>
  <si>
    <t>Kapitálový transfer - školské jedálne pri ZŠ</t>
  </si>
  <si>
    <t>Kapitálový transfer - ZŠ Hájik</t>
  </si>
  <si>
    <t>Kapitálový transfer - prenesené kompetencie</t>
  </si>
  <si>
    <t>Kapitálový transfer - originálne kompetencie</t>
  </si>
  <si>
    <t>Výdavky verejnej správy- pozemné komunikácie</t>
  </si>
  <si>
    <t>Výdavky verejnej správy-stavebný úrad</t>
  </si>
  <si>
    <t>Finančná a rozpočtová oblasť</t>
  </si>
  <si>
    <t>Matričná činnosť</t>
  </si>
  <si>
    <t xml:space="preserve">01.1.2       </t>
  </si>
  <si>
    <t>Všeobecné verejné služby - register obyvateľstva</t>
  </si>
  <si>
    <t xml:space="preserve">01.7.0        </t>
  </si>
  <si>
    <t>Transakcie verejného dlhu</t>
  </si>
  <si>
    <t xml:space="preserve">02.2.0       </t>
  </si>
  <si>
    <t>Civilná obrana</t>
  </si>
  <si>
    <t>Ochrana pred požiarmi</t>
  </si>
  <si>
    <t xml:space="preserve">03.2.0       </t>
  </si>
  <si>
    <t xml:space="preserve">04.1.1       </t>
  </si>
  <si>
    <t>Všeobecná pracovná oblasť</t>
  </si>
  <si>
    <t>Veterinárna oblastť</t>
  </si>
  <si>
    <t>Lesníctvo</t>
  </si>
  <si>
    <t xml:space="preserve">04.4.3       </t>
  </si>
  <si>
    <t>Výstavba</t>
  </si>
  <si>
    <t xml:space="preserve">04.5.1       </t>
  </si>
  <si>
    <t>Cestná doprava</t>
  </si>
  <si>
    <t xml:space="preserve">04.5.1.3   </t>
  </si>
  <si>
    <t xml:space="preserve"> Správa a údržba ciest</t>
  </si>
  <si>
    <t xml:space="preserve">04.7.3       </t>
  </si>
  <si>
    <t>Cestovný ruch</t>
  </si>
  <si>
    <t xml:space="preserve">05.1.0       </t>
  </si>
  <si>
    <t>Nakladanie s odpadmi</t>
  </si>
  <si>
    <t xml:space="preserve">06.2.0       </t>
  </si>
  <si>
    <t>Rozvoj obcí</t>
  </si>
  <si>
    <t xml:space="preserve">06.3.0       </t>
  </si>
  <si>
    <t xml:space="preserve">06.4.0       </t>
  </si>
  <si>
    <t xml:space="preserve">06.6.0       </t>
  </si>
  <si>
    <t>Bývanie-Bytterm</t>
  </si>
  <si>
    <t xml:space="preserve">07              </t>
  </si>
  <si>
    <t>Zdravotníctvo</t>
  </si>
  <si>
    <t xml:space="preserve">08.1.0       </t>
  </si>
  <si>
    <t xml:space="preserve">08.2.0       </t>
  </si>
  <si>
    <t>Kultúrne zariadenia - kultúrne domy</t>
  </si>
  <si>
    <t>Ostatné kultúrne služby</t>
  </si>
  <si>
    <t xml:space="preserve">08.4.0       </t>
  </si>
  <si>
    <t xml:space="preserve"> Predškolská výchova - detské jasle</t>
  </si>
  <si>
    <t xml:space="preserve">09.1.1.1    </t>
  </si>
  <si>
    <t xml:space="preserve">09.5.0.1   </t>
  </si>
  <si>
    <t xml:space="preserve"> Zariadenia pre záujmové vzdelávanie</t>
  </si>
  <si>
    <t xml:space="preserve">09.5.0.2     </t>
  </si>
  <si>
    <t>Centrá voľného času</t>
  </si>
  <si>
    <t>Stredisko služieb škole</t>
  </si>
  <si>
    <t xml:space="preserve">09.8.0       </t>
  </si>
  <si>
    <t>Vzdelávanie inde nezaradené</t>
  </si>
  <si>
    <t xml:space="preserve">10.1.2.4    </t>
  </si>
  <si>
    <t>Príspevky neštát.subjektom - invalidita a ZŤP</t>
  </si>
  <si>
    <t xml:space="preserve">10.2.0       </t>
  </si>
  <si>
    <t xml:space="preserve">10.2.0.2    </t>
  </si>
  <si>
    <t>Ďalšie sociálne služby - opatrovateľské služby</t>
  </si>
  <si>
    <t>Dávky sociálnej pomoci</t>
  </si>
  <si>
    <t xml:space="preserve">10.4.0       </t>
  </si>
  <si>
    <t>Rodina a deti</t>
  </si>
  <si>
    <t xml:space="preserve">10.9.0       </t>
  </si>
  <si>
    <t>Sociálne zabezpečenie inde neklasifikované</t>
  </si>
  <si>
    <t xml:space="preserve">09.5.0.1    </t>
  </si>
  <si>
    <t>Zariadenia pre záujmové vzdelávanie</t>
  </si>
  <si>
    <t xml:space="preserve">01.7.0      </t>
  </si>
  <si>
    <t xml:space="preserve">03.2.0      </t>
  </si>
  <si>
    <t xml:space="preserve">04.5.1      </t>
  </si>
  <si>
    <t xml:space="preserve">09.1.1  </t>
  </si>
  <si>
    <t xml:space="preserve">09.1.2  </t>
  </si>
  <si>
    <t xml:space="preserve">09.6.0.7   </t>
  </si>
  <si>
    <t xml:space="preserve">01.1.1.6   </t>
  </si>
  <si>
    <t>Výdavkové finančné operácie spolu:</t>
  </si>
  <si>
    <t>tab. č. 2</t>
  </si>
  <si>
    <t>str. č. 3</t>
  </si>
  <si>
    <t>Výdavky verejnej správy - ŠFRB</t>
  </si>
  <si>
    <t>str. č. 5</t>
  </si>
  <si>
    <t>str. č. 4</t>
  </si>
  <si>
    <t>str. č. 9</t>
  </si>
  <si>
    <t>str. č. 6</t>
  </si>
  <si>
    <t>str. č. 7</t>
  </si>
  <si>
    <t>str. č. 10</t>
  </si>
  <si>
    <t>str. č. 11</t>
  </si>
  <si>
    <t>str. č. 8</t>
  </si>
  <si>
    <t>str. č. 12</t>
  </si>
  <si>
    <t>Občianskym združeniam a nadáciam</t>
  </si>
  <si>
    <t>Vrátky z príjmov</t>
  </si>
  <si>
    <t>Vrátky  príjmov z minulých rokov</t>
  </si>
  <si>
    <t xml:space="preserve">04.1.2      </t>
  </si>
  <si>
    <t xml:space="preserve">04.2.1.3   </t>
  </si>
  <si>
    <t xml:space="preserve">04.2.2      </t>
  </si>
  <si>
    <t xml:space="preserve">05.6.0      </t>
  </si>
  <si>
    <t xml:space="preserve">08.2.0.1   </t>
  </si>
  <si>
    <t xml:space="preserve">08.2.0.3   </t>
  </si>
  <si>
    <t xml:space="preserve">08.2.0      </t>
  </si>
  <si>
    <t xml:space="preserve">09.1.1     </t>
  </si>
  <si>
    <t xml:space="preserve">09.1.2      </t>
  </si>
  <si>
    <t xml:space="preserve">09.6.0.7    </t>
  </si>
  <si>
    <t xml:space="preserve">10.7.0.1   </t>
  </si>
  <si>
    <t xml:space="preserve">01.1.1.6 </t>
  </si>
  <si>
    <t>04.3.2</t>
  </si>
  <si>
    <t>08.2.0.1</t>
  </si>
  <si>
    <t xml:space="preserve">08.4.0 </t>
  </si>
  <si>
    <t>tab.č. 3</t>
  </si>
  <si>
    <t>str. č. 2</t>
  </si>
  <si>
    <t>str. č. 1</t>
  </si>
  <si>
    <t>292 027</t>
  </si>
  <si>
    <t>Mestský úrad v Žiline</t>
  </si>
  <si>
    <t>Použitie a zostatky fondov mesta k 31.12.2007</t>
  </si>
  <si>
    <t>Humanitárny fond</t>
  </si>
  <si>
    <t>Stav fondu k 1.1. 2007</t>
  </si>
  <si>
    <t>Príjem do fondu v roku 2007</t>
  </si>
  <si>
    <t>Použité prostriedky v roku 2007</t>
  </si>
  <si>
    <t>Zostatok fondu k 31.12.2007</t>
  </si>
  <si>
    <t>Rezervný fond</t>
  </si>
  <si>
    <t>Fond životného prostredia</t>
  </si>
  <si>
    <t>Združené prostriedky</t>
  </si>
  <si>
    <t>Fond rozvoja bývania</t>
  </si>
  <si>
    <t>Termínovaný vkladový účet FRB</t>
  </si>
  <si>
    <t>Úroky</t>
  </si>
  <si>
    <t>Poplatky banke</t>
  </si>
  <si>
    <t>Fond kriminality</t>
  </si>
  <si>
    <t>Príloha č. 1</t>
  </si>
  <si>
    <t xml:space="preserve">Návrh na finančné vysporiadanie príspevkových organizácií  </t>
  </si>
  <si>
    <t>Spolu</t>
  </si>
  <si>
    <t>z toho: vlastné príjmy</t>
  </si>
  <si>
    <t>z toho: bežné výdavky</t>
  </si>
  <si>
    <t xml:space="preserve">Daň z úrokov </t>
  </si>
  <si>
    <t>Prevod výnosov na bež.účet mesta (č. 0330353001/5600)</t>
  </si>
  <si>
    <t>Zostatok fondu k 31.12. 2007</t>
  </si>
  <si>
    <t>Združené do fondu v roku 2007</t>
  </si>
  <si>
    <t xml:space="preserve">Zostatok fondu k 31.12.2007 </t>
  </si>
  <si>
    <t>Použité prostriedky v roku 2007:</t>
  </si>
  <si>
    <t>domy - bloky E7, H5, H11, H12</t>
  </si>
  <si>
    <t>Úhrada faktúr  súvisiacich  s výstavbou nájomných bytov - byt.</t>
  </si>
  <si>
    <t>Prevod fin. prostriedkov na bež.účet mesta (č. 0330353001/5600)</t>
  </si>
  <si>
    <t>mesta za rok 2007</t>
  </si>
  <si>
    <t>(v Sk)</t>
  </si>
  <si>
    <t xml:space="preserve">            kapitál. výdavky</t>
  </si>
  <si>
    <t>z toho: Mestský úrad:</t>
  </si>
  <si>
    <t xml:space="preserve">   v tom: - na bež. výdavky</t>
  </si>
  <si>
    <t xml:space="preserve">              - na kap. výdavky</t>
  </si>
  <si>
    <t xml:space="preserve">              - účelovo určené  MsÚ</t>
  </si>
  <si>
    <t xml:space="preserve">             Ostatné:</t>
  </si>
  <si>
    <r>
      <rPr>
        <b/>
        <sz val="11"/>
        <rFont val="Arial CE"/>
        <family val="0"/>
      </rPr>
      <t>Výnosy</t>
    </r>
    <r>
      <rPr>
        <sz val="11"/>
        <rFont val="Arial CE"/>
        <family val="2"/>
      </rPr>
      <t xml:space="preserve"> celkom</t>
    </r>
  </si>
  <si>
    <r>
      <rPr>
        <b/>
        <sz val="11"/>
        <rFont val="Arial CE"/>
        <family val="0"/>
      </rPr>
      <t>Náklady</t>
    </r>
    <r>
      <rPr>
        <sz val="11"/>
        <rFont val="Arial CE"/>
        <family val="2"/>
      </rPr>
      <t xml:space="preserve"> celkom</t>
    </r>
  </si>
  <si>
    <r>
      <rPr>
        <b/>
        <sz val="11"/>
        <rFont val="Arial CE"/>
        <family val="0"/>
      </rPr>
      <t>Transfer</t>
    </r>
    <r>
      <rPr>
        <sz val="11"/>
        <rFont val="Arial CE"/>
        <family val="2"/>
      </rPr>
      <t xml:space="preserve"> celkom</t>
    </r>
  </si>
  <si>
    <t xml:space="preserve">   v tom: - bež. výdavky</t>
  </si>
  <si>
    <t xml:space="preserve">              - kap. výdavky</t>
  </si>
  <si>
    <t>Zisk + , strata -</t>
  </si>
  <si>
    <t>Prídel do fondov celkom</t>
  </si>
  <si>
    <t xml:space="preserve">            - rezervný fond</t>
  </si>
  <si>
    <t xml:space="preserve">            - iné fondy</t>
  </si>
  <si>
    <t>Hospodárky výsledok:</t>
  </si>
  <si>
    <t>z toho: - fond reprodukcie inv.m.</t>
  </si>
  <si>
    <t>Limit mzdových prostriedkov</t>
  </si>
  <si>
    <t>z fin. vysporiadania</t>
  </si>
  <si>
    <t>Krytie schodku hospodárenia</t>
  </si>
  <si>
    <t>z finanč. hospodárenia mesta</t>
  </si>
  <si>
    <t>z vlastných zdrojov organizácie</t>
  </si>
  <si>
    <t>ZISK</t>
  </si>
  <si>
    <t>Číslo</t>
  </si>
  <si>
    <t xml:space="preserve">Ter. </t>
  </si>
  <si>
    <t>Rozp.</t>
  </si>
  <si>
    <t>Prest.</t>
  </si>
  <si>
    <t>Vecné</t>
  </si>
  <si>
    <t>Finančné</t>
  </si>
  <si>
    <t>stavby</t>
  </si>
  <si>
    <t>Názov stavby</t>
  </si>
  <si>
    <t>zač.</t>
  </si>
  <si>
    <t>uk.</t>
  </si>
  <si>
    <t>nákl.</t>
  </si>
  <si>
    <t>k 31.12.</t>
  </si>
  <si>
    <t>plnenie</t>
  </si>
  <si>
    <t>stav.</t>
  </si>
  <si>
    <t>Rozšír.plynu Pov.Chlmec</t>
  </si>
  <si>
    <t>09/00</t>
  </si>
  <si>
    <t>04/07</t>
  </si>
  <si>
    <t>z toho:stavebné práce</t>
  </si>
  <si>
    <t>0601</t>
  </si>
  <si>
    <t>Plynová prípojka KD Zástranie</t>
  </si>
  <si>
    <t>03/06</t>
  </si>
  <si>
    <t>02/07</t>
  </si>
  <si>
    <t>04.5.1</t>
  </si>
  <si>
    <t>CESTNÁ DOPRAVA</t>
  </si>
  <si>
    <t>0315</t>
  </si>
  <si>
    <t>Rekon.ul. Na Priekope</t>
  </si>
  <si>
    <t>06/05</t>
  </si>
  <si>
    <t>05/07</t>
  </si>
  <si>
    <t>0503</t>
  </si>
  <si>
    <t>Námestie J.Pavla II.-I.Etapa</t>
  </si>
  <si>
    <t>07/05</t>
  </si>
  <si>
    <t>12/06</t>
  </si>
  <si>
    <t>0505</t>
  </si>
  <si>
    <t>Rek.vnútor.komunik.Solinky</t>
  </si>
  <si>
    <t>03/05</t>
  </si>
  <si>
    <t>09/06</t>
  </si>
  <si>
    <t>0506</t>
  </si>
  <si>
    <t>Chodník  Žil.univerzita- Vlčince</t>
  </si>
  <si>
    <t>05/05</t>
  </si>
  <si>
    <t>0615</t>
  </si>
  <si>
    <t>Rozšír.parkov.na sídliskách</t>
  </si>
  <si>
    <t>11/06</t>
  </si>
  <si>
    <t>0618</t>
  </si>
  <si>
    <t>Rek. Ul. Športová</t>
  </si>
  <si>
    <t>10/06</t>
  </si>
  <si>
    <t>0613</t>
  </si>
  <si>
    <t>Rek. Ul. Brezová</t>
  </si>
  <si>
    <t>0622</t>
  </si>
  <si>
    <t>Rek.komunik.Žil.Lehota</t>
  </si>
  <si>
    <t>0507</t>
  </si>
  <si>
    <t>Revitalizácia Lesopark Žilina</t>
  </si>
  <si>
    <t>ROZVOJ BÝVANIA</t>
  </si>
  <si>
    <t>10529</t>
  </si>
  <si>
    <t>32 tr.ZŠ Hájik</t>
  </si>
  <si>
    <t>09/91</t>
  </si>
  <si>
    <t>10706</t>
  </si>
  <si>
    <t>Novost.3-obyt.domov s níz.š</t>
  </si>
  <si>
    <t>1/06</t>
  </si>
  <si>
    <t>101106</t>
  </si>
  <si>
    <t>Bl.H5-s TV,Hájik 2.stavba</t>
  </si>
  <si>
    <t>12/07</t>
  </si>
  <si>
    <t>10305</t>
  </si>
  <si>
    <t>Bl.H6-20 b.j.+TV,Hájik 2,stavba</t>
  </si>
  <si>
    <t>10106</t>
  </si>
  <si>
    <t>Bl.H7-20 b.j.+TV,Hájik 2,stavba</t>
  </si>
  <si>
    <t>10206</t>
  </si>
  <si>
    <t>Bl.H8-20 b.j.+TV,Hájik 2,stavba</t>
  </si>
  <si>
    <t>04//05</t>
  </si>
  <si>
    <t>10406</t>
  </si>
  <si>
    <t>12/05</t>
  </si>
  <si>
    <t>10704</t>
  </si>
  <si>
    <t>Bl.H9 a -Hájik 2.st.+TV</t>
  </si>
  <si>
    <t>01/07</t>
  </si>
  <si>
    <t>12/08</t>
  </si>
  <si>
    <t>10207</t>
  </si>
  <si>
    <t>Bl. H9b Hájik 2.st s TV</t>
  </si>
  <si>
    <t>1/07</t>
  </si>
  <si>
    <t>101006</t>
  </si>
  <si>
    <t>Bl. H11 s TV Hájik 2.st.</t>
  </si>
  <si>
    <t>04/08</t>
  </si>
  <si>
    <t>10107</t>
  </si>
  <si>
    <t>Bl. H12 s TV Hájik 2.st.</t>
  </si>
  <si>
    <t>10806</t>
  </si>
  <si>
    <t>Bl.E7 Hájik 2.st. s TV</t>
  </si>
  <si>
    <t>10/05</t>
  </si>
  <si>
    <t>10306</t>
  </si>
  <si>
    <t>Bl.E8  Hájik 2.st. s TV</t>
  </si>
  <si>
    <t>01/06</t>
  </si>
  <si>
    <t>10103</t>
  </si>
  <si>
    <t>IBV Závodie-Tech.infraštr.</t>
  </si>
  <si>
    <t>02/05</t>
  </si>
  <si>
    <t>101203</t>
  </si>
  <si>
    <t>IBV-Malý Diel</t>
  </si>
  <si>
    <t>06/03</t>
  </si>
  <si>
    <t>10/09</t>
  </si>
  <si>
    <t>101103</t>
  </si>
  <si>
    <t>IBV-Bôrik III.</t>
  </si>
  <si>
    <t>10/07</t>
  </si>
  <si>
    <t>10906</t>
  </si>
  <si>
    <t>Rozšír. elektr. sietí Bytčica</t>
  </si>
  <si>
    <t>06/06</t>
  </si>
  <si>
    <t>ZÁSOBOVANIE VODOU</t>
  </si>
  <si>
    <t>9502</t>
  </si>
  <si>
    <t>Vodovod Zádubnie-Zastranie</t>
  </si>
  <si>
    <t>10/94</t>
  </si>
  <si>
    <t>9509</t>
  </si>
  <si>
    <t>Vodovod Vranie I.st.</t>
  </si>
  <si>
    <t>05/95</t>
  </si>
  <si>
    <t>10/08</t>
  </si>
  <si>
    <t>0611</t>
  </si>
  <si>
    <t>REKREAČ. A ŠPORT. SLUŽBY</t>
  </si>
  <si>
    <t>0502</t>
  </si>
  <si>
    <t>Telocvičňa T18 Žilina</t>
  </si>
  <si>
    <t>04/05</t>
  </si>
  <si>
    <t>9812</t>
  </si>
  <si>
    <t>Detské ihriská Vlčince</t>
  </si>
  <si>
    <t>0317</t>
  </si>
  <si>
    <t>Tréning. hala -vzduchot.</t>
  </si>
  <si>
    <t>07/06</t>
  </si>
  <si>
    <t>PAMIATKOVÁ STAROSTLIVOSŤ</t>
  </si>
  <si>
    <t>9523</t>
  </si>
  <si>
    <t>Mestsk.divadlo-požiar.ochr.</t>
  </si>
  <si>
    <t>5/07</t>
  </si>
  <si>
    <t>0414</t>
  </si>
  <si>
    <t>Pamätník J.M.Hurbana</t>
  </si>
  <si>
    <t>09/08</t>
  </si>
  <si>
    <t>0511</t>
  </si>
  <si>
    <t>Balustrády Far.kostol-oprava</t>
  </si>
  <si>
    <t>0602</t>
  </si>
  <si>
    <t>Rek.fontány na Mar.námestí</t>
  </si>
  <si>
    <t>4/06</t>
  </si>
  <si>
    <t>0610</t>
  </si>
  <si>
    <t>Dom smútku Mojšova Lúčka</t>
  </si>
  <si>
    <t>0/06</t>
  </si>
  <si>
    <t>0614</t>
  </si>
  <si>
    <t>Reliéf ev.bisk.Rupeldta F.</t>
  </si>
  <si>
    <t>2/06</t>
  </si>
  <si>
    <t>08.4.0</t>
  </si>
  <si>
    <t>NÁBOŽ.A INÉ SPOLOČ.SLUŽBY</t>
  </si>
  <si>
    <t>0419</t>
  </si>
  <si>
    <t>Rekonštrukcia kostola  Bytčica</t>
  </si>
  <si>
    <t>08/04</t>
  </si>
  <si>
    <t>0617</t>
  </si>
  <si>
    <t>Rek. Kaplnky Závodie</t>
  </si>
  <si>
    <t>10/03</t>
  </si>
  <si>
    <t>09</t>
  </si>
  <si>
    <t>VZDELÁVANIE</t>
  </si>
  <si>
    <t>067</t>
  </si>
  <si>
    <t>Stacionár pre dôchod.Vlčince</t>
  </si>
  <si>
    <t>04/06</t>
  </si>
  <si>
    <t>str. č. 13</t>
  </si>
  <si>
    <t>z toho : - na prevádzku</t>
  </si>
  <si>
    <t xml:space="preserve">              - na investície</t>
  </si>
  <si>
    <t>Príspevok celkom:</t>
  </si>
  <si>
    <t xml:space="preserve">              - účelovo určené MsÚ</t>
  </si>
  <si>
    <t xml:space="preserve">   v tom : - na prevádzku</t>
  </si>
  <si>
    <t>Ostatné transfery:</t>
  </si>
  <si>
    <t>z toho: - grant z MK SR</t>
  </si>
  <si>
    <t xml:space="preserve">             - účel. dot. ŽFK</t>
  </si>
  <si>
    <t>Hospodársky výsledok (zisk)</t>
  </si>
  <si>
    <t>preds.</t>
  </si>
  <si>
    <t>tis. Sk</t>
  </si>
  <si>
    <t xml:space="preserve">Odvod do rozpočtu  mesta </t>
  </si>
  <si>
    <t>Limit na reprezentač. výdavky</t>
  </si>
  <si>
    <t>Turistická informačná kancelária  mesta</t>
  </si>
  <si>
    <t>str. č. 14</t>
  </si>
  <si>
    <t>Turistická informačná kancelária</t>
  </si>
  <si>
    <t>Počet návštevníkov (mimosezóna/deň)</t>
  </si>
  <si>
    <t xml:space="preserve">                - na investície</t>
  </si>
  <si>
    <t xml:space="preserve">                - účelovo určené MsÚ</t>
  </si>
  <si>
    <t>Realizácia stavieb za rok 2007</t>
  </si>
  <si>
    <t>v tis.Sk</t>
  </si>
  <si>
    <t>za rok 2007</t>
  </si>
  <si>
    <t>9508</t>
  </si>
  <si>
    <t>Kanalizácia Bánová</t>
  </si>
  <si>
    <t>10/95</t>
  </si>
  <si>
    <t>10/04</t>
  </si>
  <si>
    <t>uvolnen.</t>
  </si>
  <si>
    <t>prostr.</t>
  </si>
  <si>
    <t>0009</t>
  </si>
  <si>
    <t>Kanalizácia Budatín</t>
  </si>
  <si>
    <t>02/02</t>
  </si>
  <si>
    <t>12/04</t>
  </si>
  <si>
    <t>10307</t>
  </si>
  <si>
    <t>Hájik 3.stavba-prípr.územia</t>
  </si>
  <si>
    <t>Hájik 4.5.6.stavba-prípr.územ</t>
  </si>
  <si>
    <t>P.</t>
  </si>
  <si>
    <t>Názov</t>
  </si>
  <si>
    <t>Výkaz.</t>
  </si>
  <si>
    <t>Výdavky</t>
  </si>
  <si>
    <t>Použit.</t>
  </si>
  <si>
    <t>č.</t>
  </si>
  <si>
    <t>organizácie</t>
  </si>
  <si>
    <t>príjmy</t>
  </si>
  <si>
    <t>výdav.</t>
  </si>
  <si>
    <t>prenes.</t>
  </si>
  <si>
    <t>origin.</t>
  </si>
  <si>
    <t>kapit.</t>
  </si>
  <si>
    <t>príj.</t>
  </si>
  <si>
    <t>kom.+HN</t>
  </si>
  <si>
    <t>kompet.</t>
  </si>
  <si>
    <t>z príj.</t>
  </si>
  <si>
    <t>PK</t>
  </si>
  <si>
    <t>OK</t>
  </si>
  <si>
    <t>z pren.</t>
  </si>
  <si>
    <t>1.</t>
  </si>
  <si>
    <t xml:space="preserve"> ZŠ  Bytčica</t>
  </si>
  <si>
    <t>2.</t>
  </si>
  <si>
    <t xml:space="preserve">       Zádubnie</t>
  </si>
  <si>
    <t>3.</t>
  </si>
  <si>
    <t xml:space="preserve">       Bánova</t>
  </si>
  <si>
    <t>4.</t>
  </si>
  <si>
    <t xml:space="preserve">       Brodno</t>
  </si>
  <si>
    <t>5.</t>
  </si>
  <si>
    <t xml:space="preserve">       Budatín</t>
  </si>
  <si>
    <t>6.</t>
  </si>
  <si>
    <t xml:space="preserve">       Mojš. Lúčka</t>
  </si>
  <si>
    <t>7.</t>
  </si>
  <si>
    <t xml:space="preserve">       Trnové</t>
  </si>
  <si>
    <t>8.</t>
  </si>
  <si>
    <t xml:space="preserve">       Závodie</t>
  </si>
  <si>
    <t>9.</t>
  </si>
  <si>
    <t xml:space="preserve">       Hollého ul.</t>
  </si>
  <si>
    <t>10.</t>
  </si>
  <si>
    <t xml:space="preserve">       V. Javorku</t>
  </si>
  <si>
    <t>11.</t>
  </si>
  <si>
    <t xml:space="preserve">       Jarná</t>
  </si>
  <si>
    <t>12.</t>
  </si>
  <si>
    <t xml:space="preserve">       Lichardova</t>
  </si>
  <si>
    <t>13.</t>
  </si>
  <si>
    <t xml:space="preserve">       Gorazda</t>
  </si>
  <si>
    <t>14.</t>
  </si>
  <si>
    <t xml:space="preserve">       Karpatská</t>
  </si>
  <si>
    <t>15.</t>
  </si>
  <si>
    <t xml:space="preserve">       Martinská</t>
  </si>
  <si>
    <t>16.</t>
  </si>
  <si>
    <t xml:space="preserve">       Gaštanová</t>
  </si>
  <si>
    <t>17.</t>
  </si>
  <si>
    <t xml:space="preserve">       Limbová</t>
  </si>
  <si>
    <t>18.</t>
  </si>
  <si>
    <t xml:space="preserve">       Hájik</t>
  </si>
  <si>
    <t>19.</t>
  </si>
  <si>
    <t xml:space="preserve"> ZUŠ Arvaya</t>
  </si>
  <si>
    <t>20.</t>
  </si>
  <si>
    <t>21.</t>
  </si>
  <si>
    <t>22.</t>
  </si>
  <si>
    <t xml:space="preserve"> CVČ Hurbanova</t>
  </si>
  <si>
    <t>23.</t>
  </si>
  <si>
    <t xml:space="preserve"> SSŠ Varšavská</t>
  </si>
  <si>
    <t>24.</t>
  </si>
  <si>
    <t>25.</t>
  </si>
  <si>
    <t xml:space="preserve">        Budatín</t>
  </si>
  <si>
    <t>26.</t>
  </si>
  <si>
    <t xml:space="preserve">        Bytčica</t>
  </si>
  <si>
    <t>27.</t>
  </si>
  <si>
    <t xml:space="preserve">        Mojš. Lúčka</t>
  </si>
  <si>
    <t>28.</t>
  </si>
  <si>
    <t xml:space="preserve">        Pov. Chlmec</t>
  </si>
  <si>
    <t>29.</t>
  </si>
  <si>
    <t xml:space="preserve">        Strážov</t>
  </si>
  <si>
    <t>30.</t>
  </si>
  <si>
    <t xml:space="preserve">        Zástranie</t>
  </si>
  <si>
    <t>31.</t>
  </si>
  <si>
    <t xml:space="preserve">        A. Kmeťa</t>
  </si>
  <si>
    <t>32.</t>
  </si>
  <si>
    <t xml:space="preserve">        Predmest.</t>
  </si>
  <si>
    <t>33.</t>
  </si>
  <si>
    <t xml:space="preserve">        Stavbárska</t>
  </si>
  <si>
    <t>34.</t>
  </si>
  <si>
    <t xml:space="preserve">        Puškinova</t>
  </si>
  <si>
    <t>35.</t>
  </si>
  <si>
    <t xml:space="preserve">        Čajákova</t>
  </si>
  <si>
    <t>36.</t>
  </si>
  <si>
    <t xml:space="preserve">        V. Javorku</t>
  </si>
  <si>
    <t>37.</t>
  </si>
  <si>
    <t xml:space="preserve">        Bajzova</t>
  </si>
  <si>
    <t>38.</t>
  </si>
  <si>
    <t xml:space="preserve">        Jarná</t>
  </si>
  <si>
    <t>39.</t>
  </si>
  <si>
    <t xml:space="preserve">        Lichardova</t>
  </si>
  <si>
    <t>40.</t>
  </si>
  <si>
    <t xml:space="preserve">        Borodáča 6</t>
  </si>
  <si>
    <t>41.</t>
  </si>
  <si>
    <t xml:space="preserve">        Borodáča 7</t>
  </si>
  <si>
    <t>42.</t>
  </si>
  <si>
    <t xml:space="preserve">        Gemerská</t>
  </si>
  <si>
    <t>43.</t>
  </si>
  <si>
    <t xml:space="preserve">        Trnavská</t>
  </si>
  <si>
    <t>44.</t>
  </si>
  <si>
    <t xml:space="preserve">        Limbová</t>
  </si>
  <si>
    <t>45.</t>
  </si>
  <si>
    <t xml:space="preserve">        Hájik</t>
  </si>
  <si>
    <t xml:space="preserve"> S p o l u :</t>
  </si>
  <si>
    <t xml:space="preserve">  MŠ  Bánova</t>
  </si>
  <si>
    <t>08.2.0.7</t>
  </si>
  <si>
    <t>10.2.0.1</t>
  </si>
  <si>
    <t>ROPA A ZEMNÝ PLYN</t>
  </si>
  <si>
    <t>NAKLADANIE S ODPAD.VOD.</t>
  </si>
  <si>
    <t>OCHRANA PRÍRODY A KRAJ.</t>
  </si>
  <si>
    <t>VEREJ.OSVETLENIE-MODERNIZ.</t>
  </si>
  <si>
    <t>ZAR.SOC.SLUŽIEB-STAROBA</t>
  </si>
  <si>
    <t xml:space="preserve">          v tom:  IČ stavebné práce</t>
  </si>
  <si>
    <t xml:space="preserve">                       IČ proj. príprava</t>
  </si>
  <si>
    <t xml:space="preserve">            projektová príprava</t>
  </si>
  <si>
    <t xml:space="preserve">            inžinierská činnosť cel.</t>
  </si>
  <si>
    <t xml:space="preserve">            v tom:  IČ stavebné práce</t>
  </si>
  <si>
    <t xml:space="preserve">                        IČ proj. príprava</t>
  </si>
  <si>
    <t>z toho: stavebné práce</t>
  </si>
  <si>
    <t xml:space="preserve">             projektová príprava</t>
  </si>
  <si>
    <t xml:space="preserve">             inžinierská činnosť cel.</t>
  </si>
  <si>
    <t xml:space="preserve">             v tom: IČ stavebné práce</t>
  </si>
  <si>
    <t xml:space="preserve">            v tom: IČ stavebné práce</t>
  </si>
  <si>
    <t xml:space="preserve">                         IČ proj. príprava</t>
  </si>
  <si>
    <t xml:space="preserve">             v tom : IČ stavebné práce</t>
  </si>
  <si>
    <t xml:space="preserve">             v tom:  IČ stavebné práce</t>
  </si>
  <si>
    <t xml:space="preserve">                      IČ proj. príprava</t>
  </si>
  <si>
    <t xml:space="preserve">                          IČ proj. príprava</t>
  </si>
  <si>
    <t xml:space="preserve">            v tom : IČ stavebné práce</t>
  </si>
  <si>
    <t>Plnenie rozpočtu za rok 2007 - školstvo</t>
  </si>
  <si>
    <t>Výtvarné umenie sev. Slovenska</t>
  </si>
  <si>
    <t>Výtvarná agentúra A1, Jaroslav Horečný</t>
  </si>
  <si>
    <t>K</t>
  </si>
  <si>
    <t>Spievajte pánovi</t>
  </si>
  <si>
    <t>Info-poradenské centrum mladých Brodno</t>
  </si>
  <si>
    <t>Poznávame Slovensko</t>
  </si>
  <si>
    <t>LÚČ - domov sociálnych služieb</t>
  </si>
  <si>
    <t>DISCOWORDL 2007</t>
  </si>
  <si>
    <t>DISCOWORDL</t>
  </si>
  <si>
    <t>Všetci sme ľudia</t>
  </si>
  <si>
    <t>Chevra - občianske združenie</t>
  </si>
  <si>
    <t>Čaro vianoc</t>
  </si>
  <si>
    <t>Regionálne osvetové stredisko v ZA</t>
  </si>
  <si>
    <t xml:space="preserve">Putovanie príbehu mesta </t>
  </si>
  <si>
    <t>OZ pre deti a mládež Domček poznania</t>
  </si>
  <si>
    <t>Vydanie zbierky povestí</t>
  </si>
  <si>
    <t>Dom Matice slovenskej</t>
  </si>
  <si>
    <t>Skrotenie živlov</t>
  </si>
  <si>
    <t>OZ Eiwhana</t>
  </si>
  <si>
    <t>Hudba Žiliny</t>
  </si>
  <si>
    <t>Frontinus</t>
  </si>
  <si>
    <t>Stredoveká hudba</t>
  </si>
  <si>
    <t>Mgr. Ján Marosz</t>
  </si>
  <si>
    <t>Knižná publik. pre deti</t>
  </si>
  <si>
    <t>Katarína Mikolášová</t>
  </si>
  <si>
    <t>Vydanie zbierky poviedok</t>
  </si>
  <si>
    <t>OZ MASTODONT</t>
  </si>
  <si>
    <t>I Žilinské fórum národn. menšín</t>
  </si>
  <si>
    <t>OZ POLONUS</t>
  </si>
  <si>
    <t>Genius loci mesta Žiliny</t>
  </si>
  <si>
    <t>Ing. Arch. Dušan Mellner</t>
  </si>
  <si>
    <t>Stanica Žilina - Zárečie</t>
  </si>
  <si>
    <t>Truc sphérique OZ</t>
  </si>
  <si>
    <t>Frankl, Peter: Židia v Žiline</t>
  </si>
  <si>
    <t>Zbor Žilincov</t>
  </si>
  <si>
    <t>Prof. Richard Masina</t>
  </si>
  <si>
    <t>Verejná galéria</t>
  </si>
  <si>
    <t xml:space="preserve">Mgr.Art.Peter Zamiška-SIDITATTOO </t>
  </si>
  <si>
    <t>Pane, zjednoť nás</t>
  </si>
  <si>
    <t>Darmodej - občianske združenie</t>
  </si>
  <si>
    <t>100 farieb života Žiliny (3.ročník)</t>
  </si>
  <si>
    <t>Nadácia 21. storočia</t>
  </si>
  <si>
    <t>CONVERSE Life on Floor II</t>
  </si>
  <si>
    <t>Súkromné centrum voľného času</t>
  </si>
  <si>
    <t>Zázračná sliepočka</t>
  </si>
  <si>
    <t>Združenie Dobrý pastier</t>
  </si>
  <si>
    <t>ÓDA</t>
  </si>
  <si>
    <t>Miroslav Valovič - Lightune</t>
  </si>
  <si>
    <t>ODPOJ SA!</t>
  </si>
  <si>
    <t>OZ STOPY</t>
  </si>
  <si>
    <t>Skupina Mikuláša Galandu</t>
  </si>
  <si>
    <t>Považská galéria umenia v ZA</t>
  </si>
  <si>
    <t xml:space="preserve">Osemsto kilometrov </t>
  </si>
  <si>
    <t>Miešaný zbor Žilina</t>
  </si>
  <si>
    <t>Kultúrne leto v Modrom Vrchu</t>
  </si>
  <si>
    <t>Zuzana Oslejová</t>
  </si>
  <si>
    <t>Tvoje mesto - Žilina</t>
  </si>
  <si>
    <t>Hodnotné knihy pre Žilinčanov</t>
  </si>
  <si>
    <t>Žilinská univerzita</t>
  </si>
  <si>
    <t>Prezentácia žil. detského zboru</t>
  </si>
  <si>
    <t>Žilinský detský zbor Odborárik</t>
  </si>
  <si>
    <t>Déčko-program pre deti a dosp.</t>
  </si>
  <si>
    <t>OZ Kresť.centrum Nový začiatok</t>
  </si>
  <si>
    <t>Detská záhrada</t>
  </si>
  <si>
    <t>ZŠ s MŠ Brodno</t>
  </si>
  <si>
    <t>Š</t>
  </si>
  <si>
    <t>Rekonštrukcia volejbal. ihriska</t>
  </si>
  <si>
    <t>ZŠ Gaštanová ulica</t>
  </si>
  <si>
    <t>Rozvoj cyklistického športu v ZA</t>
  </si>
  <si>
    <t>Cyklistický spolok Žilina</t>
  </si>
  <si>
    <t>Bezpečné miesto pre všetkých</t>
  </si>
  <si>
    <t>Gymnázium Varšavská cesta</t>
  </si>
  <si>
    <t>Základy vysokohorskej turistiky</t>
  </si>
  <si>
    <t>Klub turistov a horolezcov Javorník</t>
  </si>
  <si>
    <t>Podpora pravidelnej činnosti</t>
  </si>
  <si>
    <t>Klub Značkár Žilina</t>
  </si>
  <si>
    <t>Zriad. a vybavenie pohyb. centra</t>
  </si>
  <si>
    <t>Materská škola Hliny IV</t>
  </si>
  <si>
    <t>Vráťme šport na ihriská</t>
  </si>
  <si>
    <t>CVČ Spektrum</t>
  </si>
  <si>
    <t>Pohyb pre všetkých</t>
  </si>
  <si>
    <t>ŠK JUVENTA ŽILINA</t>
  </si>
  <si>
    <t>Šport a kultúra bez hraníc</t>
  </si>
  <si>
    <t>ZŠ s MŠ Školská Žilina</t>
  </si>
  <si>
    <t xml:space="preserve">CéVéCéčka pre decká </t>
  </si>
  <si>
    <t>SCVČ Žirafa</t>
  </si>
  <si>
    <t>Miniihrisko - pozemné práce</t>
  </si>
  <si>
    <t>ZŠ Námestie mladosti ZA</t>
  </si>
  <si>
    <t>Mládež na ihriskách</t>
  </si>
  <si>
    <t>TJ Tatran Bytčica</t>
  </si>
  <si>
    <t>Rekonštrukcia asfalt. ihriska</t>
  </si>
  <si>
    <t>Žilinská univerzita v Žiline</t>
  </si>
  <si>
    <t>Štandartná údržba atlet. dráhy</t>
  </si>
  <si>
    <t>Žilinská šachová škola</t>
  </si>
  <si>
    <t>TJ Mladosť Žilina - šachový oddiel</t>
  </si>
  <si>
    <t>Basketbalový streetbalový kôš</t>
  </si>
  <si>
    <t>OZ PAPAVERO</t>
  </si>
  <si>
    <t>Činnost v roku 2007</t>
  </si>
  <si>
    <t xml:space="preserve">Olympijský klub Žilina </t>
  </si>
  <si>
    <t>Boccia - to je šport pre nás!</t>
  </si>
  <si>
    <t>KO muskulárnych dystrofikov</t>
  </si>
  <si>
    <t>18. ročník Jašidielňa 2007</t>
  </si>
  <si>
    <t>Nadácia Krajina harmónie</t>
  </si>
  <si>
    <t>SZ</t>
  </si>
  <si>
    <t>Dni Nádeje 2007</t>
  </si>
  <si>
    <t>Nadácia LÚČ v Žiline</t>
  </si>
  <si>
    <t>Ako žiť s celiakiou</t>
  </si>
  <si>
    <t>Slovenský zväz zdravotne postihn.</t>
  </si>
  <si>
    <t>Tak poď!</t>
  </si>
  <si>
    <t>KS Únie nevidiacich a slabozrak.</t>
  </si>
  <si>
    <t>Otvorme deťom s autizmom</t>
  </si>
  <si>
    <t>OZ Detská komunita</t>
  </si>
  <si>
    <t>Slniečko - minicentrum</t>
  </si>
  <si>
    <t>Centrum voľnéh času Spektrum</t>
  </si>
  <si>
    <t>Žilina bez bariér</t>
  </si>
  <si>
    <t>OZ Chránené dielne Žilina</t>
  </si>
  <si>
    <t>Sociálno-rehabil. Kurz</t>
  </si>
  <si>
    <t>Slovenský zväz telesne postihn.</t>
  </si>
  <si>
    <t>Streetwork v uliciach Žiliny</t>
  </si>
  <si>
    <t>Diecézna charita Nitra</t>
  </si>
  <si>
    <t>Činnosť ZO</t>
  </si>
  <si>
    <t>SZ sluchovo postihnutých</t>
  </si>
  <si>
    <t>Podpora rodič. zručností</t>
  </si>
  <si>
    <t>Návrat, OZ BA</t>
  </si>
  <si>
    <t>Rodinná terapia</t>
  </si>
  <si>
    <t>Klub abstinentov Žilina- OZ</t>
  </si>
  <si>
    <t>Komunikácia bez bariér</t>
  </si>
  <si>
    <t>Žilinská knižnica</t>
  </si>
  <si>
    <t>Spoločnosť pre komunitu autist.</t>
  </si>
  <si>
    <t>Spoločnosť na pomoc autistom</t>
  </si>
  <si>
    <t>Úschovňa žilinských venuší</t>
  </si>
  <si>
    <t>Žilinské venuše, OZ</t>
  </si>
  <si>
    <t>Skauti v Žiline</t>
  </si>
  <si>
    <t>Slovenský skauting, 35. zbor</t>
  </si>
  <si>
    <t>Rozšírenie terapeutických služ.</t>
  </si>
  <si>
    <t>OZ Náruč - Pomoc deťom v kríze</t>
  </si>
  <si>
    <t>Oddychujme v záhrade</t>
  </si>
  <si>
    <t xml:space="preserve">ZŠ Lichardova </t>
  </si>
  <si>
    <t>PZ</t>
  </si>
  <si>
    <t>Daruj čas prírode</t>
  </si>
  <si>
    <t>Súkromná základná škola</t>
  </si>
  <si>
    <t>Detské ihrisko</t>
  </si>
  <si>
    <t>DOMKA združ. salez. mládeže</t>
  </si>
  <si>
    <t>Detská univerzita</t>
  </si>
  <si>
    <t>Elektrotechnická fakulta ŽU</t>
  </si>
  <si>
    <t>V</t>
  </si>
  <si>
    <t>Otvorme sa svetu rozprávkou</t>
  </si>
  <si>
    <t>Špec. ZŠ a Špec.MŠ</t>
  </si>
  <si>
    <t>Dajme škole farebnú tvár</t>
  </si>
  <si>
    <t>Hrou do života</t>
  </si>
  <si>
    <t>Multisenzorické vyučovanie</t>
  </si>
  <si>
    <t>ZŠ Karpatská Žilina</t>
  </si>
  <si>
    <t>Príroda lieči</t>
  </si>
  <si>
    <t>Regionálne osvetové centrum</t>
  </si>
  <si>
    <t>Ukáž mi cestu</t>
  </si>
  <si>
    <t>Národná spol. pre prevenciu krim.</t>
  </si>
  <si>
    <t xml:space="preserve">Stanica CAMP v šk. roku 07/08 </t>
  </si>
  <si>
    <t>Aktivivity na Hájiku</t>
  </si>
  <si>
    <t>KUMAKOKRA združ. rod.a detí</t>
  </si>
  <si>
    <t>Počítačová gramotnosť</t>
  </si>
  <si>
    <t>Žilinský literárny festival</t>
  </si>
  <si>
    <t>Preles sa chce učiť</t>
  </si>
  <si>
    <t>Noemova archa</t>
  </si>
  <si>
    <t>ZŠ Bytčica</t>
  </si>
  <si>
    <t>Hrou proti dopravným nehodám</t>
  </si>
  <si>
    <t>SŠZŠ pre žiakov a autizmom</t>
  </si>
  <si>
    <t>Profesion. dobrov. programu</t>
  </si>
  <si>
    <t>OZ Náruč</t>
  </si>
  <si>
    <t>Dobrý štart II.</t>
  </si>
  <si>
    <t>OZ MANDALA</t>
  </si>
  <si>
    <t>Suma</t>
  </si>
  <si>
    <t>Projekt</t>
  </si>
  <si>
    <t>Organizácia</t>
  </si>
  <si>
    <t>Oblasť</t>
  </si>
  <si>
    <t>Grant č.</t>
  </si>
  <si>
    <t>Staromestské slávnosti 2007</t>
  </si>
  <si>
    <t>Na činnost futbalového klubu PF 7</t>
  </si>
  <si>
    <t>TJ Jednota Bánová</t>
  </si>
  <si>
    <t>Na nákup pomôcok pre chov a preteky</t>
  </si>
  <si>
    <t>ZO chovateľov poštových holubov</t>
  </si>
  <si>
    <t>Na dopravné náklady na vystúpenia</t>
  </si>
  <si>
    <t>Zmiešaný spevácky zbor Trnovčan</t>
  </si>
  <si>
    <t>Vianočný futbalový turnaj</t>
  </si>
  <si>
    <t>OZ FC Senior Trnové</t>
  </si>
  <si>
    <t>Nákup telovýchovných zariadení</t>
  </si>
  <si>
    <t>Materská škola Mojšová Lúčka</t>
  </si>
  <si>
    <t>Výchovno-vzdelavacie aktivity PF 5</t>
  </si>
  <si>
    <t>Základná škola Hájik</t>
  </si>
  <si>
    <t>Červené stužky</t>
  </si>
  <si>
    <t>Gymnázium sv. Františka</t>
  </si>
  <si>
    <t>V Slovenskom Betleheme</t>
  </si>
  <si>
    <t>Nadácia Prameň</t>
  </si>
  <si>
    <t>Rekonštrukciu WC pre imobilného žiaka</t>
  </si>
  <si>
    <t>Základná škola</t>
  </si>
  <si>
    <t>Mikuláš a Vianoce</t>
  </si>
  <si>
    <t>Na projekt "Keď v máji sú Vianoce"</t>
  </si>
  <si>
    <t>DLANE-pomoc deťom, OZ</t>
  </si>
  <si>
    <t>Na tretí ročník KUPE 3</t>
  </si>
  <si>
    <t>OZ 1977</t>
  </si>
  <si>
    <t>Na činnosť</t>
  </si>
  <si>
    <t>OZ SSZ Klub Kvetinárov</t>
  </si>
  <si>
    <t>Na krytie prevádzkových nákladov PF č. 2</t>
  </si>
  <si>
    <t>OZ Nezábudka</t>
  </si>
  <si>
    <t>Projekt Čo dokáže moja rodina PF č. 2</t>
  </si>
  <si>
    <t>ZŠ Javorku 32</t>
  </si>
  <si>
    <t>Projekt Vianočné tvorivé dielne PF č. 2</t>
  </si>
  <si>
    <t>MŠ Stavbárska 4</t>
  </si>
  <si>
    <t>Projekt Týždeň detskej radosti PF č. 2</t>
  </si>
  <si>
    <t>MŠ Bajzova 9</t>
  </si>
  <si>
    <t>Na výmenu podlah. krytiny PF č. 2</t>
  </si>
  <si>
    <t>MŠ Jarná 7</t>
  </si>
  <si>
    <t>Projekt Zdravá škola PF č. 2</t>
  </si>
  <si>
    <t>ZŠ Jarná 20</t>
  </si>
  <si>
    <t>Na zakúpenie zvonov</t>
  </si>
  <si>
    <t>Rímsko-katolícka cirkev Zástranie</t>
  </si>
  <si>
    <t>Univerzita tretieho veku</t>
  </si>
  <si>
    <t>ŽU</t>
  </si>
  <si>
    <t>Projekt vagón do Žiliny</t>
  </si>
  <si>
    <t>Klub priateľov Múzea SNP</t>
  </si>
  <si>
    <t>Na odovzdávanie plakiet</t>
  </si>
  <si>
    <t>ÚS Sloven. Červeného kríža</t>
  </si>
  <si>
    <t>Na nákup zvonkohry PF č. 4</t>
  </si>
  <si>
    <t>ZUŠ Martinská</t>
  </si>
  <si>
    <t>Na činnosť PF č. 8</t>
  </si>
  <si>
    <t>ZŠ a MŠ Zádubnie</t>
  </si>
  <si>
    <t>MŠ Zástranie</t>
  </si>
  <si>
    <t>Na činnosť PF č. 6</t>
  </si>
  <si>
    <t>DHZ Bytčica</t>
  </si>
  <si>
    <t>4. Festival národnostných menšín</t>
  </si>
  <si>
    <t>L Media Lucia Michaláková</t>
  </si>
  <si>
    <t>Abylimbiáda</t>
  </si>
  <si>
    <t>Združenie rodičov SOU tel.postihn.</t>
  </si>
  <si>
    <t>Na kultúrnu misiu</t>
  </si>
  <si>
    <t>OS slovenských spisovateľov</t>
  </si>
  <si>
    <t>Nájom za Skautský dom</t>
  </si>
  <si>
    <t>Slovenský skauting</t>
  </si>
  <si>
    <t>MS vo florbale</t>
  </si>
  <si>
    <t>Slovenský zväz florbalu</t>
  </si>
  <si>
    <t>Bratislavské jazzové dni v Žiline</t>
  </si>
  <si>
    <t>Panorama šport hotel</t>
  </si>
  <si>
    <t>Na rehabiličnú zostavu PF č.4</t>
  </si>
  <si>
    <t>MŠ Trnavská</t>
  </si>
  <si>
    <t>Na nákup špeciál. detského nábytku PF č.4</t>
  </si>
  <si>
    <t>MŠ Gemerská</t>
  </si>
  <si>
    <t>Na exteriérové preliezky PF č.4</t>
  </si>
  <si>
    <t>MŠ Borodáča 7</t>
  </si>
  <si>
    <t>Rekvizity - bábkové divadielko PF č.4</t>
  </si>
  <si>
    <t>MŠ Borodáča 6</t>
  </si>
  <si>
    <t>Na hippoterapiu a vyuč.pomôcky PF č.4</t>
  </si>
  <si>
    <t>Špeciálna MŠ a ZŠ</t>
  </si>
  <si>
    <t>Na nákup stavebnice LEGO PF č. 4</t>
  </si>
  <si>
    <t>MŠ Gorazda</t>
  </si>
  <si>
    <t>TJ Straník</t>
  </si>
  <si>
    <t>Na preplatenie cestovného</t>
  </si>
  <si>
    <t>ŠK - ŽU Žilina</t>
  </si>
  <si>
    <t>Na oplotenie kaplnky</t>
  </si>
  <si>
    <t>Robotnícka TJ Brodno</t>
  </si>
  <si>
    <t>Kongres urgentnej medicíny</t>
  </si>
  <si>
    <t>RESCUE SYSTÉM</t>
  </si>
  <si>
    <t>Info brožúra Ako žiť s celiakiou</t>
  </si>
  <si>
    <t>Slovenský zväz ZP, ZO Celia</t>
  </si>
  <si>
    <t>Majstrovstvá sveta v behu do vrchu</t>
  </si>
  <si>
    <t>Atletický klub Žilina</t>
  </si>
  <si>
    <t>Oblastná výstava zvierat a exotických vtákov</t>
  </si>
  <si>
    <t>Slovenský zväz chovateľov ZO Žilina</t>
  </si>
  <si>
    <t>Medzinárodná konferencia</t>
  </si>
  <si>
    <t>Sloven.zväz Národ. park Malá Fatra</t>
  </si>
  <si>
    <t>Týždeň mobility - Ulice pre ľudí</t>
  </si>
  <si>
    <t>Aliance Francais</t>
  </si>
  <si>
    <t>Príprava žil. cyklistu Petra Sagana</t>
  </si>
  <si>
    <t>Na činnosť a odmenu dirigentke</t>
  </si>
  <si>
    <t>Spevácky zbor MÁJ</t>
  </si>
  <si>
    <t>Na nákup zariadenia</t>
  </si>
  <si>
    <t>MŠ Považský Chlmec</t>
  </si>
  <si>
    <t>DHZ Brodno</t>
  </si>
  <si>
    <t>ZŠ a MŠ Brodno</t>
  </si>
  <si>
    <t>IV. kolo Extraliga SAPS</t>
  </si>
  <si>
    <t>ŠK polície LUGER</t>
  </si>
  <si>
    <t>Spievajte pánovi - kresťanské zbory</t>
  </si>
  <si>
    <t>Info-porad. centrum Brodno PF 8</t>
  </si>
  <si>
    <t>Cyrilometodské dni XVIII. ročník</t>
  </si>
  <si>
    <t>Miestne kultúrne stredisko</t>
  </si>
  <si>
    <t>Kultúrne leto 2007</t>
  </si>
  <si>
    <t>Majstrovstvá sveta v debatovaní v Soule</t>
  </si>
  <si>
    <t>Slovenská debatná asociácia</t>
  </si>
  <si>
    <t>Na pomoc pri vedení klubu</t>
  </si>
  <si>
    <t>ZOS postihn.epilepsiou</t>
  </si>
  <si>
    <t>Na poskytovanie sociálnych služieb</t>
  </si>
  <si>
    <t>Majstrovstvá SR v basketbale</t>
  </si>
  <si>
    <t xml:space="preserve">Mládežnícky basket. klub Žilina  </t>
  </si>
  <si>
    <t>Majstrovstvá sveta v hokejbale</t>
  </si>
  <si>
    <t>Súkromné centrum voľného Žirafa</t>
  </si>
  <si>
    <t>Na krytie nákladov PF č. 6</t>
  </si>
  <si>
    <t>Na nákup prenosných rámp pre vozíčkárov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</si>
</sst>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  <numFmt numFmtId="181" formatCode="_-* #,##0.0\ &quot;Sk&quot;_-;\-* #,##0.0\ &quot;Sk&quot;_-;_-* &quot;-&quot;??\ &quot;Sk&quot;_-;_-@_-"/>
    <numFmt numFmtId="182" formatCode="#,##0.0"/>
    <numFmt numFmtId="183" formatCode="#,##0_ ;\-#,##0\ "/>
  </numFmts>
  <fonts count="70">
    <font>
      <sz val="10"/>
      <name val="Arial CE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12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2"/>
      <name val="Arial CE"/>
      <family val="2"/>
    </font>
    <font>
      <u val="singleAccounting"/>
      <sz val="12"/>
      <name val="Arial CE"/>
      <family val="0"/>
    </font>
    <font>
      <sz val="10"/>
      <color indexed="22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i/>
      <sz val="12"/>
      <name val="Arial"/>
      <family val="0"/>
    </font>
    <font>
      <sz val="10"/>
      <name val="Arial"/>
      <family val="0"/>
    </font>
    <font>
      <b/>
      <i/>
      <sz val="12"/>
      <color indexed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0"/>
      <color indexed="17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57"/>
      <name val="Arial CE"/>
      <family val="2"/>
    </font>
    <font>
      <b/>
      <i/>
      <sz val="9"/>
      <name val="Arial CE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2"/>
      <color indexed="8"/>
      <name val="Arial CE"/>
      <family val="2"/>
    </font>
    <font>
      <b/>
      <sz val="12"/>
      <color indexed="17"/>
      <name val="Arial CE"/>
      <family val="2"/>
    </font>
    <font>
      <sz val="12"/>
      <color indexed="10"/>
      <name val="Arial CE"/>
      <family val="2"/>
    </font>
    <font>
      <sz val="13"/>
      <name val="Arial CE"/>
      <family val="0"/>
    </font>
    <font>
      <u val="single"/>
      <sz val="12"/>
      <name val="Arial CE"/>
      <family val="0"/>
    </font>
    <font>
      <b/>
      <sz val="16"/>
      <name val="Arial CE"/>
      <family val="0"/>
    </font>
    <font>
      <b/>
      <sz val="10"/>
      <color indexed="10"/>
      <name val="Arial CE"/>
      <family val="0"/>
    </font>
    <font>
      <b/>
      <sz val="13"/>
      <name val="Arial CE"/>
      <family val="0"/>
    </font>
    <font>
      <sz val="12"/>
      <color indexed="9"/>
      <name val="Arial CE"/>
      <family val="0"/>
    </font>
    <font>
      <b/>
      <sz val="8"/>
      <name val="Arial CE"/>
      <family val="2"/>
    </font>
    <font>
      <sz val="16"/>
      <name val="Arial CE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7"/>
        <bgColor indexed="11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0" borderId="1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63" fillId="0" borderId="7" applyNumberFormat="0" applyFill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7" borderId="8" applyNumberFormat="0" applyAlignment="0" applyProtection="0"/>
    <xf numFmtId="0" fontId="67" fillId="19" borderId="8" applyNumberFormat="0" applyAlignment="0" applyProtection="0"/>
    <xf numFmtId="0" fontId="68" fillId="19" borderId="9" applyNumberFormat="0" applyAlignment="0" applyProtection="0"/>
    <xf numFmtId="0" fontId="6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</cellStyleXfs>
  <cellXfs count="145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4" fontId="3" fillId="19" borderId="10" xfId="0" applyNumberFormat="1" applyFont="1" applyFill="1" applyBorder="1" applyAlignment="1">
      <alignment/>
    </xf>
    <xf numFmtId="0" fontId="3" fillId="19" borderId="11" xfId="0" applyFont="1" applyFill="1" applyBorder="1" applyAlignment="1">
      <alignment horizontal="left"/>
    </xf>
    <xf numFmtId="0" fontId="3" fillId="19" borderId="11" xfId="0" applyFont="1" applyFill="1" applyBorder="1" applyAlignment="1">
      <alignment wrapText="1"/>
    </xf>
    <xf numFmtId="3" fontId="3" fillId="19" borderId="12" xfId="0" applyNumberFormat="1" applyFont="1" applyFill="1" applyBorder="1" applyAlignment="1">
      <alignment/>
    </xf>
    <xf numFmtId="3" fontId="3" fillId="19" borderId="13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3" fontId="1" fillId="0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wrapText="1"/>
    </xf>
    <xf numFmtId="3" fontId="1" fillId="0" borderId="17" xfId="0" applyNumberFormat="1" applyFont="1" applyFill="1" applyBorder="1" applyAlignment="1">
      <alignment/>
    </xf>
    <xf numFmtId="0" fontId="3" fillId="19" borderId="10" xfId="0" applyFont="1" applyFill="1" applyBorder="1" applyAlignment="1">
      <alignment/>
    </xf>
    <xf numFmtId="3" fontId="3" fillId="19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1" fillId="19" borderId="11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3" fillId="19" borderId="11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3" fontId="0" fillId="0" borderId="0" xfId="0" applyNumberFormat="1" applyAlignment="1">
      <alignment/>
    </xf>
    <xf numFmtId="3" fontId="3" fillId="19" borderId="11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3" fontId="1" fillId="0" borderId="2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19" borderId="15" xfId="0" applyNumberFormat="1" applyFont="1" applyFill="1" applyBorder="1" applyAlignment="1">
      <alignment/>
    </xf>
    <xf numFmtId="0" fontId="3" fillId="19" borderId="16" xfId="0" applyFont="1" applyFill="1" applyBorder="1" applyAlignment="1">
      <alignment horizontal="left"/>
    </xf>
    <xf numFmtId="0" fontId="3" fillId="19" borderId="16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 horizontal="left"/>
    </xf>
    <xf numFmtId="0" fontId="1" fillId="0" borderId="26" xfId="0" applyFont="1" applyFill="1" applyBorder="1" applyAlignment="1">
      <alignment wrapText="1"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3" fillId="19" borderId="10" xfId="0" applyNumberFormat="1" applyFont="1" applyFill="1" applyBorder="1" applyAlignment="1">
      <alignment/>
    </xf>
    <xf numFmtId="0" fontId="3" fillId="19" borderId="20" xfId="0" applyFont="1" applyFill="1" applyBorder="1" applyAlignment="1">
      <alignment wrapText="1"/>
    </xf>
    <xf numFmtId="49" fontId="3" fillId="0" borderId="19" xfId="0" applyNumberFormat="1" applyFont="1" applyFill="1" applyBorder="1" applyAlignment="1">
      <alignment/>
    </xf>
    <xf numFmtId="3" fontId="3" fillId="19" borderId="27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3" fontId="1" fillId="0" borderId="3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19" borderId="16" xfId="0" applyFont="1" applyFill="1" applyBorder="1" applyAlignment="1">
      <alignment wrapText="1"/>
    </xf>
    <xf numFmtId="0" fontId="1" fillId="19" borderId="31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32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2" fillId="19" borderId="33" xfId="0" applyFont="1" applyFill="1" applyBorder="1" applyAlignment="1">
      <alignment/>
    </xf>
    <xf numFmtId="0" fontId="2" fillId="19" borderId="34" xfId="0" applyFont="1" applyFill="1" applyBorder="1" applyAlignment="1">
      <alignment horizontal="left"/>
    </xf>
    <xf numFmtId="0" fontId="2" fillId="19" borderId="34" xfId="0" applyFont="1" applyFill="1" applyBorder="1" applyAlignment="1">
      <alignment wrapText="1"/>
    </xf>
    <xf numFmtId="3" fontId="2" fillId="19" borderId="3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wrapText="1"/>
    </xf>
    <xf numFmtId="3" fontId="4" fillId="0" borderId="3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40" xfId="0" applyFont="1" applyFill="1" applyBorder="1" applyAlignment="1">
      <alignment wrapText="1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 wrapText="1"/>
    </xf>
    <xf numFmtId="0" fontId="3" fillId="0" borderId="0" xfId="0" applyFont="1" applyFill="1" applyAlignment="1">
      <alignment/>
    </xf>
    <xf numFmtId="3" fontId="9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3" fillId="0" borderId="24" xfId="0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 horizontal="right" vertical="center" wrapText="1"/>
    </xf>
    <xf numFmtId="0" fontId="1" fillId="0" borderId="46" xfId="0" applyFont="1" applyFill="1" applyBorder="1" applyAlignment="1">
      <alignment horizontal="left"/>
    </xf>
    <xf numFmtId="3" fontId="3" fillId="19" borderId="38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48" applyFont="1" applyBorder="1" applyAlignment="1">
      <alignment horizontal="left"/>
      <protection/>
    </xf>
    <xf numFmtId="3" fontId="17" fillId="0" borderId="0" xfId="35" applyNumberFormat="1" applyFont="1" applyBorder="1" applyAlignment="1">
      <alignment horizontal="right"/>
    </xf>
    <xf numFmtId="0" fontId="17" fillId="0" borderId="0" xfId="48" applyFont="1" applyBorder="1">
      <alignment/>
      <protection/>
    </xf>
    <xf numFmtId="0" fontId="4" fillId="0" borderId="0" xfId="0" applyFont="1" applyAlignment="1">
      <alignment/>
    </xf>
    <xf numFmtId="0" fontId="15" fillId="0" borderId="0" xfId="48" applyFont="1" applyBorder="1" applyAlignment="1">
      <alignment horizontal="center"/>
      <protection/>
    </xf>
    <xf numFmtId="0" fontId="1" fillId="0" borderId="0" xfId="0" applyFont="1" applyAlignment="1">
      <alignment/>
    </xf>
    <xf numFmtId="0" fontId="13" fillId="19" borderId="47" xfId="48" applyFont="1" applyFill="1" applyBorder="1" applyAlignment="1">
      <alignment horizontal="left"/>
      <protection/>
    </xf>
    <xf numFmtId="0" fontId="13" fillId="19" borderId="48" xfId="48" applyFont="1" applyFill="1" applyBorder="1" applyAlignment="1">
      <alignment horizontal="left"/>
      <protection/>
    </xf>
    <xf numFmtId="3" fontId="18" fillId="19" borderId="48" xfId="35" applyNumberFormat="1" applyFont="1" applyFill="1" applyBorder="1" applyAlignment="1">
      <alignment horizontal="right"/>
    </xf>
    <xf numFmtId="0" fontId="18" fillId="19" borderId="49" xfId="48" applyFont="1" applyFill="1" applyBorder="1">
      <alignment/>
      <protection/>
    </xf>
    <xf numFmtId="0" fontId="18" fillId="0" borderId="0" xfId="48" applyFont="1" applyBorder="1">
      <alignment/>
      <protection/>
    </xf>
    <xf numFmtId="0" fontId="17" fillId="0" borderId="50" xfId="48" applyFont="1" applyFill="1" applyBorder="1" applyAlignment="1">
      <alignment horizontal="left"/>
      <protection/>
    </xf>
    <xf numFmtId="0" fontId="17" fillId="0" borderId="14" xfId="48" applyFont="1" applyFill="1" applyBorder="1" applyAlignment="1">
      <alignment horizontal="left"/>
      <protection/>
    </xf>
    <xf numFmtId="3" fontId="17" fillId="0" borderId="14" xfId="48" applyNumberFormat="1" applyFont="1" applyFill="1" applyBorder="1">
      <alignment/>
      <protection/>
    </xf>
    <xf numFmtId="3" fontId="17" fillId="0" borderId="20" xfId="48" applyNumberFormat="1" applyFont="1" applyFill="1" applyBorder="1">
      <alignment/>
      <protection/>
    </xf>
    <xf numFmtId="3" fontId="17" fillId="0" borderId="0" xfId="48" applyNumberFormat="1" applyFont="1" applyBorder="1">
      <alignment/>
      <protection/>
    </xf>
    <xf numFmtId="0" fontId="19" fillId="0" borderId="0" xfId="0" applyFont="1" applyAlignment="1">
      <alignment/>
    </xf>
    <xf numFmtId="0" fontId="20" fillId="0" borderId="50" xfId="48" applyFont="1" applyFill="1" applyBorder="1" applyAlignment="1">
      <alignment horizontal="left"/>
      <protection/>
    </xf>
    <xf numFmtId="3" fontId="20" fillId="0" borderId="14" xfId="48" applyNumberFormat="1" applyFont="1" applyFill="1" applyBorder="1">
      <alignment/>
      <protection/>
    </xf>
    <xf numFmtId="3" fontId="20" fillId="0" borderId="20" xfId="48" applyNumberFormat="1" applyFont="1" applyFill="1" applyBorder="1">
      <alignment/>
      <protection/>
    </xf>
    <xf numFmtId="0" fontId="20" fillId="0" borderId="0" xfId="48" applyFont="1" applyBorder="1">
      <alignment/>
      <protection/>
    </xf>
    <xf numFmtId="0" fontId="17" fillId="0" borderId="51" xfId="48" applyFont="1" applyFill="1" applyBorder="1" applyAlignment="1">
      <alignment horizontal="left"/>
      <protection/>
    </xf>
    <xf numFmtId="0" fontId="17" fillId="0" borderId="52" xfId="48" applyFont="1" applyFill="1" applyBorder="1" applyAlignment="1">
      <alignment horizontal="left"/>
      <protection/>
    </xf>
    <xf numFmtId="3" fontId="17" fillId="0" borderId="53" xfId="48" applyNumberFormat="1" applyFont="1" applyFill="1" applyBorder="1">
      <alignment/>
      <protection/>
    </xf>
    <xf numFmtId="3" fontId="17" fillId="0" borderId="54" xfId="48" applyNumberFormat="1" applyFont="1" applyFill="1" applyBorder="1">
      <alignment/>
      <protection/>
    </xf>
    <xf numFmtId="0" fontId="13" fillId="19" borderId="39" xfId="48" applyFont="1" applyFill="1" applyBorder="1" applyAlignment="1">
      <alignment horizontal="left"/>
      <protection/>
    </xf>
    <xf numFmtId="0" fontId="13" fillId="19" borderId="55" xfId="48" applyFont="1" applyFill="1" applyBorder="1" applyAlignment="1">
      <alignment horizontal="left"/>
      <protection/>
    </xf>
    <xf numFmtId="3" fontId="18" fillId="19" borderId="56" xfId="35" applyNumberFormat="1" applyFont="1" applyFill="1" applyBorder="1" applyAlignment="1">
      <alignment horizontal="right"/>
    </xf>
    <xf numFmtId="0" fontId="18" fillId="19" borderId="57" xfId="48" applyFont="1" applyFill="1" applyBorder="1">
      <alignment/>
      <protection/>
    </xf>
    <xf numFmtId="0" fontId="17" fillId="0" borderId="58" xfId="48" applyFont="1" applyBorder="1" applyAlignment="1">
      <alignment horizontal="left"/>
      <protection/>
    </xf>
    <xf numFmtId="0" fontId="17" fillId="0" borderId="50" xfId="48" applyFont="1" applyBorder="1" applyAlignment="1">
      <alignment horizontal="left"/>
      <protection/>
    </xf>
    <xf numFmtId="3" fontId="17" fillId="0" borderId="14" xfId="48" applyNumberFormat="1" applyFont="1" applyBorder="1">
      <alignment/>
      <protection/>
    </xf>
    <xf numFmtId="3" fontId="17" fillId="0" borderId="59" xfId="48" applyNumberFormat="1" applyFont="1" applyFill="1" applyBorder="1">
      <alignment/>
      <protection/>
    </xf>
    <xf numFmtId="0" fontId="17" fillId="0" borderId="0" xfId="48" applyFont="1">
      <alignment/>
      <protection/>
    </xf>
    <xf numFmtId="0" fontId="20" fillId="0" borderId="50" xfId="48" applyFont="1" applyBorder="1" applyAlignment="1">
      <alignment horizontal="left"/>
      <protection/>
    </xf>
    <xf numFmtId="0" fontId="20" fillId="0" borderId="0" xfId="48" applyFont="1">
      <alignment/>
      <protection/>
    </xf>
    <xf numFmtId="3" fontId="20" fillId="0" borderId="59" xfId="48" applyNumberFormat="1" applyFont="1" applyFill="1" applyBorder="1">
      <alignment/>
      <protection/>
    </xf>
    <xf numFmtId="3" fontId="17" fillId="0" borderId="60" xfId="48" applyNumberFormat="1" applyFont="1" applyFill="1" applyBorder="1">
      <alignment/>
      <protection/>
    </xf>
    <xf numFmtId="0" fontId="17" fillId="0" borderId="51" xfId="48" applyFont="1" applyBorder="1" applyAlignment="1">
      <alignment horizontal="left"/>
      <protection/>
    </xf>
    <xf numFmtId="3" fontId="17" fillId="0" borderId="61" xfId="48" applyNumberFormat="1" applyFont="1" applyFill="1" applyBorder="1">
      <alignment/>
      <protection/>
    </xf>
    <xf numFmtId="0" fontId="13" fillId="19" borderId="62" xfId="48" applyFont="1" applyFill="1" applyBorder="1" applyAlignment="1">
      <alignment horizontal="left"/>
      <protection/>
    </xf>
    <xf numFmtId="0" fontId="13" fillId="19" borderId="63" xfId="48" applyFont="1" applyFill="1" applyBorder="1" applyAlignment="1">
      <alignment horizontal="left"/>
      <protection/>
    </xf>
    <xf numFmtId="3" fontId="18" fillId="19" borderId="64" xfId="35" applyNumberFormat="1" applyFont="1" applyFill="1" applyBorder="1" applyAlignment="1">
      <alignment horizontal="right"/>
    </xf>
    <xf numFmtId="0" fontId="18" fillId="19" borderId="65" xfId="48" applyFont="1" applyFill="1" applyBorder="1">
      <alignment/>
      <protection/>
    </xf>
    <xf numFmtId="0" fontId="18" fillId="0" borderId="0" xfId="48" applyFont="1">
      <alignment/>
      <protection/>
    </xf>
    <xf numFmtId="3" fontId="17" fillId="0" borderId="66" xfId="48" applyNumberFormat="1" applyFont="1" applyBorder="1">
      <alignment/>
      <protection/>
    </xf>
    <xf numFmtId="3" fontId="17" fillId="0" borderId="67" xfId="48" applyNumberFormat="1" applyFont="1" applyBorder="1">
      <alignment/>
      <protection/>
    </xf>
    <xf numFmtId="0" fontId="17" fillId="0" borderId="14" xfId="48" applyFont="1" applyBorder="1" applyAlignment="1">
      <alignment horizontal="left"/>
      <protection/>
    </xf>
    <xf numFmtId="3" fontId="17" fillId="0" borderId="20" xfId="48" applyNumberFormat="1" applyFont="1" applyBorder="1">
      <alignment/>
      <protection/>
    </xf>
    <xf numFmtId="3" fontId="20" fillId="0" borderId="66" xfId="48" applyNumberFormat="1" applyFont="1" applyBorder="1">
      <alignment/>
      <protection/>
    </xf>
    <xf numFmtId="3" fontId="20" fillId="0" borderId="67" xfId="48" applyNumberFormat="1" applyFont="1" applyBorder="1">
      <alignment/>
      <protection/>
    </xf>
    <xf numFmtId="3" fontId="17" fillId="0" borderId="53" xfId="48" applyNumberFormat="1" applyFont="1" applyBorder="1">
      <alignment/>
      <protection/>
    </xf>
    <xf numFmtId="3" fontId="17" fillId="0" borderId="54" xfId="48" applyNumberFormat="1" applyFont="1" applyBorder="1">
      <alignment/>
      <protection/>
    </xf>
    <xf numFmtId="3" fontId="1" fillId="0" borderId="15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68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0" fontId="12" fillId="24" borderId="0" xfId="0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0" borderId="7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3" fillId="0" borderId="13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0" fontId="3" fillId="24" borderId="10" xfId="0" applyFont="1" applyFill="1" applyBorder="1" applyAlignment="1">
      <alignment/>
    </xf>
    <xf numFmtId="3" fontId="3" fillId="24" borderId="13" xfId="0" applyNumberFormat="1" applyFont="1" applyFill="1" applyBorder="1" applyAlignment="1">
      <alignment/>
    </xf>
    <xf numFmtId="14" fontId="3" fillId="24" borderId="10" xfId="0" applyNumberFormat="1" applyFont="1" applyFill="1" applyBorder="1" applyAlignment="1">
      <alignment/>
    </xf>
    <xf numFmtId="3" fontId="3" fillId="24" borderId="20" xfId="0" applyNumberFormat="1" applyFont="1" applyFill="1" applyBorder="1" applyAlignment="1">
      <alignment/>
    </xf>
    <xf numFmtId="0" fontId="3" fillId="24" borderId="11" xfId="0" applyFont="1" applyFill="1" applyBorder="1" applyAlignment="1">
      <alignment horizontal="left"/>
    </xf>
    <xf numFmtId="0" fontId="3" fillId="24" borderId="11" xfId="0" applyFont="1" applyFill="1" applyBorder="1" applyAlignment="1">
      <alignment wrapText="1"/>
    </xf>
    <xf numFmtId="3" fontId="3" fillId="24" borderId="12" xfId="0" applyNumberFormat="1" applyFont="1" applyFill="1" applyBorder="1" applyAlignment="1">
      <alignment/>
    </xf>
    <xf numFmtId="0" fontId="1" fillId="24" borderId="11" xfId="0" applyFont="1" applyFill="1" applyBorder="1" applyAlignment="1">
      <alignment wrapText="1"/>
    </xf>
    <xf numFmtId="3" fontId="1" fillId="24" borderId="13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left"/>
    </xf>
    <xf numFmtId="3" fontId="1" fillId="24" borderId="20" xfId="0" applyNumberFormat="1" applyFont="1" applyFill="1" applyBorder="1" applyAlignment="1">
      <alignment/>
    </xf>
    <xf numFmtId="49" fontId="1" fillId="0" borderId="46" xfId="0" applyNumberFormat="1" applyFont="1" applyFill="1" applyBorder="1" applyAlignment="1">
      <alignment/>
    </xf>
    <xf numFmtId="3" fontId="1" fillId="0" borderId="71" xfId="0" applyNumberFormat="1" applyFont="1" applyFill="1" applyBorder="1" applyAlignment="1">
      <alignment horizontal="left"/>
    </xf>
    <xf numFmtId="0" fontId="1" fillId="0" borderId="71" xfId="0" applyFont="1" applyFill="1" applyBorder="1" applyAlignment="1">
      <alignment wrapText="1"/>
    </xf>
    <xf numFmtId="0" fontId="0" fillId="24" borderId="0" xfId="0" applyFill="1" applyAlignment="1">
      <alignment/>
    </xf>
    <xf numFmtId="3" fontId="1" fillId="0" borderId="72" xfId="0" applyNumberFormat="1" applyFont="1" applyFill="1" applyBorder="1" applyAlignment="1">
      <alignment horizontal="left"/>
    </xf>
    <xf numFmtId="49" fontId="3" fillId="19" borderId="62" xfId="0" applyNumberFormat="1" applyFont="1" applyFill="1" applyBorder="1" applyAlignment="1">
      <alignment/>
    </xf>
    <xf numFmtId="0" fontId="3" fillId="19" borderId="73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3" fontId="1" fillId="24" borderId="16" xfId="0" applyNumberFormat="1" applyFont="1" applyFill="1" applyBorder="1" applyAlignment="1">
      <alignment horizontal="left"/>
    </xf>
    <xf numFmtId="3" fontId="23" fillId="0" borderId="0" xfId="0" applyNumberFormat="1" applyFont="1" applyAlignment="1">
      <alignment/>
    </xf>
    <xf numFmtId="3" fontId="1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3" fillId="19" borderId="12" xfId="0" applyNumberFormat="1" applyFont="1" applyFill="1" applyBorder="1" applyAlignment="1" applyProtection="1">
      <alignment/>
      <protection locked="0"/>
    </xf>
    <xf numFmtId="3" fontId="3" fillId="0" borderId="13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3" fillId="24" borderId="13" xfId="0" applyNumberFormat="1" applyFont="1" applyFill="1" applyBorder="1" applyAlignment="1" applyProtection="1">
      <alignment/>
      <protection locked="0"/>
    </xf>
    <xf numFmtId="3" fontId="3" fillId="19" borderId="13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3" fillId="19" borderId="17" xfId="0" applyNumberFormat="1" applyFont="1" applyFill="1" applyBorder="1" applyAlignment="1" applyProtection="1">
      <alignment/>
      <protection locked="0"/>
    </xf>
    <xf numFmtId="3" fontId="3" fillId="0" borderId="30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1" fillId="24" borderId="13" xfId="0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3" fontId="1" fillId="0" borderId="13" xfId="0" applyNumberFormat="1" applyFont="1" applyFill="1" applyBorder="1" applyAlignment="1" applyProtection="1">
      <alignment wrapText="1"/>
      <protection locked="0"/>
    </xf>
    <xf numFmtId="3" fontId="3" fillId="0" borderId="13" xfId="0" applyNumberFormat="1" applyFont="1" applyFill="1" applyBorder="1" applyAlignment="1" applyProtection="1">
      <alignment wrapText="1"/>
      <protection locked="0"/>
    </xf>
    <xf numFmtId="3" fontId="1" fillId="0" borderId="22" xfId="0" applyNumberFormat="1" applyFont="1" applyFill="1" applyBorder="1" applyAlignment="1" applyProtection="1">
      <alignment/>
      <protection locked="0"/>
    </xf>
    <xf numFmtId="3" fontId="1" fillId="0" borderId="27" xfId="0" applyNumberFormat="1" applyFont="1" applyFill="1" applyBorder="1" applyAlignment="1" applyProtection="1">
      <alignment/>
      <protection locked="0"/>
    </xf>
    <xf numFmtId="3" fontId="3" fillId="19" borderId="27" xfId="0" applyNumberFormat="1" applyFont="1" applyFill="1" applyBorder="1" applyAlignment="1" applyProtection="1">
      <alignment/>
      <protection locked="0"/>
    </xf>
    <xf numFmtId="3" fontId="1" fillId="0" borderId="30" xfId="0" applyNumberFormat="1" applyFont="1" applyFill="1" applyBorder="1" applyAlignment="1" applyProtection="1">
      <alignment/>
      <protection locked="0"/>
    </xf>
    <xf numFmtId="3" fontId="3" fillId="19" borderId="38" xfId="0" applyNumberFormat="1" applyFont="1" applyFill="1" applyBorder="1" applyAlignment="1" applyProtection="1">
      <alignment/>
      <protection locked="0"/>
    </xf>
    <xf numFmtId="3" fontId="2" fillId="19" borderId="35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4" fillId="0" borderId="38" xfId="0" applyNumberFormat="1" applyFont="1" applyFill="1" applyBorder="1" applyAlignment="1" applyProtection="1">
      <alignment/>
      <protection locked="0"/>
    </xf>
    <xf numFmtId="49" fontId="3" fillId="24" borderId="10" xfId="0" applyNumberFormat="1" applyFont="1" applyFill="1" applyBorder="1" applyAlignment="1">
      <alignment/>
    </xf>
    <xf numFmtId="0" fontId="3" fillId="19" borderId="74" xfId="0" applyFont="1" applyFill="1" applyBorder="1" applyAlignment="1">
      <alignment horizontal="left"/>
    </xf>
    <xf numFmtId="49" fontId="3" fillId="19" borderId="69" xfId="0" applyNumberFormat="1" applyFont="1" applyFill="1" applyBorder="1" applyAlignment="1">
      <alignment/>
    </xf>
    <xf numFmtId="0" fontId="3" fillId="19" borderId="31" xfId="0" applyFont="1" applyFill="1" applyBorder="1" applyAlignment="1">
      <alignment horizontal="left"/>
    </xf>
    <xf numFmtId="49" fontId="1" fillId="0" borderId="68" xfId="0" applyNumberFormat="1" applyFont="1" applyFill="1" applyBorder="1" applyAlignment="1">
      <alignment/>
    </xf>
    <xf numFmtId="0" fontId="2" fillId="19" borderId="75" xfId="0" applyFont="1" applyFill="1" applyBorder="1" applyAlignment="1">
      <alignment vertical="center"/>
    </xf>
    <xf numFmtId="0" fontId="2" fillId="19" borderId="76" xfId="0" applyFont="1" applyFill="1" applyBorder="1" applyAlignment="1">
      <alignment horizontal="left" vertical="center"/>
    </xf>
    <xf numFmtId="0" fontId="2" fillId="19" borderId="76" xfId="0" applyFont="1" applyFill="1" applyBorder="1" applyAlignment="1">
      <alignment vertical="center" wrapText="1"/>
    </xf>
    <xf numFmtId="3" fontId="2" fillId="19" borderId="77" xfId="0" applyNumberFormat="1" applyFont="1" applyFill="1" applyBorder="1" applyAlignment="1" applyProtection="1">
      <alignment vertical="center"/>
      <protection locked="0"/>
    </xf>
    <xf numFmtId="3" fontId="2" fillId="19" borderId="77" xfId="0" applyNumberFormat="1" applyFont="1" applyFill="1" applyBorder="1" applyAlignment="1">
      <alignment vertical="center"/>
    </xf>
    <xf numFmtId="3" fontId="1" fillId="0" borderId="44" xfId="0" applyNumberFormat="1" applyFont="1" applyFill="1" applyBorder="1" applyAlignment="1" applyProtection="1">
      <alignment/>
      <protection locked="0"/>
    </xf>
    <xf numFmtId="0" fontId="3" fillId="0" borderId="46" xfId="0" applyFont="1" applyFill="1" applyBorder="1" applyAlignment="1">
      <alignment/>
    </xf>
    <xf numFmtId="0" fontId="3" fillId="19" borderId="20" xfId="0" applyFont="1" applyFill="1" applyBorder="1" applyAlignment="1">
      <alignment/>
    </xf>
    <xf numFmtId="49" fontId="3" fillId="0" borderId="46" xfId="0" applyNumberFormat="1" applyFont="1" applyFill="1" applyBorder="1" applyAlignment="1">
      <alignment/>
    </xf>
    <xf numFmtId="49" fontId="3" fillId="24" borderId="19" xfId="0" applyNumberFormat="1" applyFont="1" applyFill="1" applyBorder="1" applyAlignment="1">
      <alignment/>
    </xf>
    <xf numFmtId="3" fontId="1" fillId="24" borderId="44" xfId="0" applyNumberFormat="1" applyFont="1" applyFill="1" applyBorder="1" applyAlignment="1" applyProtection="1">
      <alignment/>
      <protection locked="0"/>
    </xf>
    <xf numFmtId="3" fontId="1" fillId="24" borderId="44" xfId="0" applyNumberFormat="1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73" xfId="0" applyFont="1" applyFill="1" applyBorder="1" applyAlignment="1">
      <alignment horizontal="left"/>
    </xf>
    <xf numFmtId="0" fontId="3" fillId="0" borderId="73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14" fontId="3" fillId="19" borderId="62" xfId="0" applyNumberFormat="1" applyFont="1" applyFill="1" applyBorder="1" applyAlignment="1">
      <alignment/>
    </xf>
    <xf numFmtId="0" fontId="3" fillId="19" borderId="7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49" fontId="1" fillId="0" borderId="62" xfId="0" applyNumberFormat="1" applyFont="1" applyFill="1" applyBorder="1" applyAlignment="1">
      <alignment/>
    </xf>
    <xf numFmtId="3" fontId="1" fillId="0" borderId="73" xfId="0" applyNumberFormat="1" applyFont="1" applyFill="1" applyBorder="1" applyAlignment="1">
      <alignment horizontal="left"/>
    </xf>
    <xf numFmtId="0" fontId="1" fillId="0" borderId="73" xfId="0" applyFont="1" applyFill="1" applyBorder="1" applyAlignment="1">
      <alignment wrapText="1"/>
    </xf>
    <xf numFmtId="3" fontId="1" fillId="0" borderId="12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49" fontId="3" fillId="0" borderId="62" xfId="0" applyNumberFormat="1" applyFont="1" applyFill="1" applyBorder="1" applyAlignment="1">
      <alignment/>
    </xf>
    <xf numFmtId="0" fontId="3" fillId="0" borderId="73" xfId="0" applyFont="1" applyFill="1" applyBorder="1" applyAlignment="1">
      <alignment wrapText="1"/>
    </xf>
    <xf numFmtId="3" fontId="3" fillId="0" borderId="12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>
      <alignment/>
    </xf>
    <xf numFmtId="49" fontId="3" fillId="0" borderId="29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3" fontId="3" fillId="19" borderId="73" xfId="0" applyNumberFormat="1" applyFont="1" applyFill="1" applyBorder="1" applyAlignment="1">
      <alignment horizontal="left"/>
    </xf>
    <xf numFmtId="3" fontId="3" fillId="0" borderId="54" xfId="0" applyNumberFormat="1" applyFont="1" applyFill="1" applyBorder="1" applyAlignment="1">
      <alignment/>
    </xf>
    <xf numFmtId="0" fontId="3" fillId="24" borderId="62" xfId="0" applyFont="1" applyFill="1" applyBorder="1" applyAlignment="1">
      <alignment/>
    </xf>
    <xf numFmtId="0" fontId="3" fillId="24" borderId="73" xfId="0" applyFont="1" applyFill="1" applyBorder="1" applyAlignment="1">
      <alignment horizontal="left"/>
    </xf>
    <xf numFmtId="0" fontId="3" fillId="24" borderId="73" xfId="0" applyFont="1" applyFill="1" applyBorder="1" applyAlignment="1">
      <alignment wrapText="1"/>
    </xf>
    <xf numFmtId="3" fontId="3" fillId="24" borderId="12" xfId="0" applyNumberFormat="1" applyFont="1" applyFill="1" applyBorder="1" applyAlignment="1" applyProtection="1">
      <alignment/>
      <protection locked="0"/>
    </xf>
    <xf numFmtId="0" fontId="3" fillId="24" borderId="46" xfId="0" applyFont="1" applyFill="1" applyBorder="1" applyAlignment="1">
      <alignment/>
    </xf>
    <xf numFmtId="0" fontId="3" fillId="24" borderId="71" xfId="0" applyFont="1" applyFill="1" applyBorder="1" applyAlignment="1">
      <alignment horizontal="left"/>
    </xf>
    <xf numFmtId="0" fontId="3" fillId="24" borderId="71" xfId="0" applyFont="1" applyFill="1" applyBorder="1" applyAlignment="1">
      <alignment wrapText="1"/>
    </xf>
    <xf numFmtId="3" fontId="3" fillId="24" borderId="27" xfId="0" applyNumberFormat="1" applyFont="1" applyFill="1" applyBorder="1" applyAlignment="1" applyProtection="1">
      <alignment/>
      <protection locked="0"/>
    </xf>
    <xf numFmtId="3" fontId="3" fillId="24" borderId="27" xfId="0" applyNumberFormat="1" applyFont="1" applyFill="1" applyBorder="1" applyAlignment="1">
      <alignment/>
    </xf>
    <xf numFmtId="3" fontId="3" fillId="25" borderId="78" xfId="0" applyNumberFormat="1" applyFont="1" applyFill="1" applyBorder="1" applyAlignment="1">
      <alignment horizontal="center" vertical="center" wrapText="1"/>
    </xf>
    <xf numFmtId="3" fontId="3" fillId="25" borderId="39" xfId="0" applyNumberFormat="1" applyFont="1" applyFill="1" applyBorder="1" applyAlignment="1">
      <alignment horizontal="center" vertical="center" wrapText="1"/>
    </xf>
    <xf numFmtId="3" fontId="3" fillId="25" borderId="78" xfId="0" applyNumberFormat="1" applyFont="1" applyFill="1" applyBorder="1" applyAlignment="1">
      <alignment vertical="center"/>
    </xf>
    <xf numFmtId="3" fontId="3" fillId="25" borderId="39" xfId="0" applyNumberFormat="1" applyFont="1" applyFill="1" applyBorder="1" applyAlignment="1">
      <alignment vertical="center"/>
    </xf>
    <xf numFmtId="0" fontId="7" fillId="25" borderId="39" xfId="0" applyFont="1" applyFill="1" applyBorder="1" applyAlignment="1">
      <alignment vertical="center"/>
    </xf>
    <xf numFmtId="0" fontId="8" fillId="25" borderId="40" xfId="0" applyFont="1" applyFill="1" applyBorder="1" applyAlignment="1">
      <alignment horizontal="left"/>
    </xf>
    <xf numFmtId="0" fontId="8" fillId="25" borderId="40" xfId="0" applyFont="1" applyFill="1" applyBorder="1" applyAlignment="1">
      <alignment wrapText="1"/>
    </xf>
    <xf numFmtId="3" fontId="3" fillId="25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39" xfId="0" applyFont="1" applyFill="1" applyBorder="1" applyAlignment="1">
      <alignment vertical="center"/>
    </xf>
    <xf numFmtId="0" fontId="2" fillId="25" borderId="40" xfId="0" applyFont="1" applyFill="1" applyBorder="1" applyAlignment="1">
      <alignment horizontal="left" vertical="center"/>
    </xf>
    <xf numFmtId="0" fontId="2" fillId="25" borderId="40" xfId="0" applyFont="1" applyFill="1" applyBorder="1" applyAlignment="1">
      <alignment vertical="center" wrapText="1"/>
    </xf>
    <xf numFmtId="3" fontId="2" fillId="25" borderId="78" xfId="0" applyNumberFormat="1" applyFont="1" applyFill="1" applyBorder="1" applyAlignment="1" applyProtection="1">
      <alignment vertical="center"/>
      <protection locked="0"/>
    </xf>
    <xf numFmtId="3" fontId="2" fillId="25" borderId="78" xfId="0" applyNumberFormat="1" applyFont="1" applyFill="1" applyBorder="1" applyAlignment="1">
      <alignment vertical="center"/>
    </xf>
    <xf numFmtId="0" fontId="4" fillId="25" borderId="39" xfId="0" applyFont="1" applyFill="1" applyBorder="1" applyAlignment="1">
      <alignment vertical="center"/>
    </xf>
    <xf numFmtId="0" fontId="6" fillId="25" borderId="40" xfId="0" applyFont="1" applyFill="1" applyBorder="1" applyAlignment="1">
      <alignment horizontal="left" vertical="center"/>
    </xf>
    <xf numFmtId="0" fontId="4" fillId="25" borderId="40" xfId="0" applyFont="1" applyFill="1" applyBorder="1" applyAlignment="1">
      <alignment vertical="center" wrapText="1"/>
    </xf>
    <xf numFmtId="3" fontId="4" fillId="25" borderId="78" xfId="0" applyNumberFormat="1" applyFont="1" applyFill="1" applyBorder="1" applyAlignment="1" applyProtection="1">
      <alignment vertical="center"/>
      <protection locked="0"/>
    </xf>
    <xf numFmtId="3" fontId="4" fillId="25" borderId="78" xfId="0" applyNumberFormat="1" applyFont="1" applyFill="1" applyBorder="1" applyAlignment="1">
      <alignment vertical="center"/>
    </xf>
    <xf numFmtId="0" fontId="2" fillId="25" borderId="79" xfId="0" applyFont="1" applyFill="1" applyBorder="1" applyAlignment="1">
      <alignment vertical="center"/>
    </xf>
    <xf numFmtId="0" fontId="5" fillId="25" borderId="55" xfId="0" applyFont="1" applyFill="1" applyBorder="1" applyAlignment="1">
      <alignment horizontal="left" vertical="center"/>
    </xf>
    <xf numFmtId="0" fontId="5" fillId="25" borderId="40" xfId="0" applyFont="1" applyFill="1" applyBorder="1" applyAlignment="1">
      <alignment vertical="center" wrapText="1"/>
    </xf>
    <xf numFmtId="49" fontId="4" fillId="25" borderId="39" xfId="0" applyNumberFormat="1" applyFont="1" applyFill="1" applyBorder="1" applyAlignment="1">
      <alignment vertical="center"/>
    </xf>
    <xf numFmtId="0" fontId="4" fillId="25" borderId="40" xfId="0" applyFont="1" applyFill="1" applyBorder="1" applyAlignment="1">
      <alignment horizontal="left" vertical="center"/>
    </xf>
    <xf numFmtId="49" fontId="2" fillId="25" borderId="39" xfId="0" applyNumberFormat="1" applyFont="1" applyFill="1" applyBorder="1" applyAlignment="1">
      <alignment vertical="center"/>
    </xf>
    <xf numFmtId="0" fontId="4" fillId="25" borderId="79" xfId="0" applyFont="1" applyFill="1" applyBorder="1" applyAlignment="1">
      <alignment vertical="center"/>
    </xf>
    <xf numFmtId="0" fontId="1" fillId="25" borderId="56" xfId="0" applyFont="1" applyFill="1" applyBorder="1" applyAlignment="1">
      <alignment horizontal="left" vertical="center"/>
    </xf>
    <xf numFmtId="0" fontId="3" fillId="25" borderId="55" xfId="0" applyFont="1" applyFill="1" applyBorder="1" applyAlignment="1">
      <alignment vertical="center" wrapText="1"/>
    </xf>
    <xf numFmtId="3" fontId="3" fillId="25" borderId="78" xfId="0" applyNumberFormat="1" applyFont="1" applyFill="1" applyBorder="1" applyAlignment="1" applyProtection="1">
      <alignment vertical="center"/>
      <protection/>
    </xf>
    <xf numFmtId="0" fontId="2" fillId="25" borderId="55" xfId="0" applyFont="1" applyFill="1" applyBorder="1" applyAlignment="1">
      <alignment horizontal="left" vertical="center"/>
    </xf>
    <xf numFmtId="0" fontId="3" fillId="25" borderId="40" xfId="0" applyFont="1" applyFill="1" applyBorder="1" applyAlignment="1">
      <alignment vertical="center" wrapText="1"/>
    </xf>
    <xf numFmtId="3" fontId="3" fillId="19" borderId="20" xfId="0" applyNumberFormat="1" applyFont="1" applyFill="1" applyBorder="1" applyAlignment="1">
      <alignment/>
    </xf>
    <xf numFmtId="3" fontId="3" fillId="19" borderId="67" xfId="0" applyNumberFormat="1" applyFont="1" applyFill="1" applyBorder="1" applyAlignment="1">
      <alignment/>
    </xf>
    <xf numFmtId="3" fontId="3" fillId="25" borderId="80" xfId="0" applyNumberFormat="1" applyFont="1" applyFill="1" applyBorder="1" applyAlignment="1">
      <alignment horizontal="center" vertical="center" wrapText="1"/>
    </xf>
    <xf numFmtId="3" fontId="3" fillId="19" borderId="65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3" fontId="3" fillId="0" borderId="20" xfId="0" applyNumberFormat="1" applyFont="1" applyFill="1" applyBorder="1" applyAlignment="1" applyProtection="1">
      <alignment/>
      <protection locked="0"/>
    </xf>
    <xf numFmtId="3" fontId="1" fillId="0" borderId="54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1" fillId="0" borderId="81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179" fontId="18" fillId="0" borderId="0" xfId="35" applyFont="1" applyAlignment="1">
      <alignment/>
    </xf>
    <xf numFmtId="4" fontId="18" fillId="0" borderId="0" xfId="0" applyNumberFormat="1" applyFont="1" applyAlignment="1">
      <alignment/>
    </xf>
    <xf numFmtId="179" fontId="24" fillId="0" borderId="0" xfId="35" applyFont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79" fontId="0" fillId="0" borderId="0" xfId="35" applyFont="1" applyAlignment="1">
      <alignment horizontal="center"/>
    </xf>
    <xf numFmtId="4" fontId="2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4" fontId="20" fillId="0" borderId="82" xfId="0" applyNumberFormat="1" applyFont="1" applyBorder="1" applyAlignment="1">
      <alignment horizontal="right"/>
    </xf>
    <xf numFmtId="0" fontId="17" fillId="0" borderId="36" xfId="0" applyFont="1" applyBorder="1" applyAlignment="1">
      <alignment/>
    </xf>
    <xf numFmtId="0" fontId="17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7" fillId="0" borderId="46" xfId="0" applyFont="1" applyBorder="1" applyAlignment="1">
      <alignment/>
    </xf>
    <xf numFmtId="4" fontId="23" fillId="0" borderId="0" xfId="0" applyNumberFormat="1" applyFont="1" applyAlignment="1">
      <alignment/>
    </xf>
    <xf numFmtId="0" fontId="20" fillId="0" borderId="83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83" xfId="0" applyFont="1" applyBorder="1" applyAlignment="1">
      <alignment/>
    </xf>
    <xf numFmtId="0" fontId="17" fillId="0" borderId="0" xfId="0" applyFont="1" applyAlignment="1">
      <alignment/>
    </xf>
    <xf numFmtId="179" fontId="13" fillId="25" borderId="0" xfId="35" applyFont="1" applyFill="1" applyAlignment="1">
      <alignment/>
    </xf>
    <xf numFmtId="179" fontId="18" fillId="0" borderId="16" xfId="35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4" fontId="13" fillId="0" borderId="71" xfId="0" applyNumberFormat="1" applyFont="1" applyBorder="1" applyAlignment="1">
      <alignment/>
    </xf>
    <xf numFmtId="179" fontId="13" fillId="0" borderId="71" xfId="35" applyFont="1" applyBorder="1" applyAlignment="1">
      <alignment/>
    </xf>
    <xf numFmtId="4" fontId="18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179" fontId="18" fillId="0" borderId="0" xfId="35" applyFont="1" applyAlignment="1">
      <alignment horizontal="left" vertical="center" wrapText="1"/>
    </xf>
    <xf numFmtId="0" fontId="18" fillId="0" borderId="0" xfId="0" applyFont="1" applyAlignment="1">
      <alignment horizontal="left" indent="1"/>
    </xf>
    <xf numFmtId="179" fontId="25" fillId="0" borderId="0" xfId="35" applyFont="1" applyAlignment="1">
      <alignment/>
    </xf>
    <xf numFmtId="4" fontId="23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7" fillId="0" borderId="15" xfId="0" applyFont="1" applyBorder="1" applyAlignment="1">
      <alignment/>
    </xf>
    <xf numFmtId="4" fontId="20" fillId="0" borderId="84" xfId="0" applyNumberFormat="1" applyFont="1" applyBorder="1" applyAlignment="1">
      <alignment horizontal="right"/>
    </xf>
    <xf numFmtId="0" fontId="17" fillId="0" borderId="29" xfId="0" applyFont="1" applyBorder="1" applyAlignment="1">
      <alignment/>
    </xf>
    <xf numFmtId="0" fontId="20" fillId="0" borderId="19" xfId="0" applyFont="1" applyBorder="1" applyAlignment="1">
      <alignment/>
    </xf>
    <xf numFmtId="0" fontId="17" fillId="0" borderId="62" xfId="0" applyFont="1" applyBorder="1" applyAlignment="1">
      <alignment/>
    </xf>
    <xf numFmtId="0" fontId="17" fillId="0" borderId="10" xfId="0" applyFont="1" applyBorder="1" applyAlignment="1">
      <alignment/>
    </xf>
    <xf numFmtId="4" fontId="20" fillId="0" borderId="85" xfId="0" applyNumberFormat="1" applyFont="1" applyBorder="1" applyAlignment="1">
      <alignment horizontal="right"/>
    </xf>
    <xf numFmtId="4" fontId="20" fillId="0" borderId="86" xfId="0" applyNumberFormat="1" applyFont="1" applyBorder="1" applyAlignment="1">
      <alignment horizontal="right"/>
    </xf>
    <xf numFmtId="4" fontId="20" fillId="0" borderId="67" xfId="0" applyNumberFormat="1" applyFont="1" applyBorder="1" applyAlignment="1">
      <alignment horizontal="right"/>
    </xf>
    <xf numFmtId="4" fontId="20" fillId="0" borderId="84" xfId="0" applyNumberFormat="1" applyFont="1" applyBorder="1" applyAlignment="1">
      <alignment horizontal="right"/>
    </xf>
    <xf numFmtId="4" fontId="20" fillId="0" borderId="85" xfId="0" applyNumberFormat="1" applyFont="1" applyBorder="1" applyAlignment="1">
      <alignment horizontal="right"/>
    </xf>
    <xf numFmtId="4" fontId="15" fillId="0" borderId="84" xfId="0" applyNumberFormat="1" applyFont="1" applyBorder="1" applyAlignment="1">
      <alignment horizontal="right"/>
    </xf>
    <xf numFmtId="4" fontId="17" fillId="0" borderId="12" xfId="0" applyNumberFormat="1" applyFont="1" applyFill="1" applyBorder="1" applyAlignment="1">
      <alignment horizontal="right"/>
    </xf>
    <xf numFmtId="4" fontId="17" fillId="0" borderId="30" xfId="0" applyNumberFormat="1" applyFont="1" applyFill="1" applyBorder="1" applyAlignment="1">
      <alignment horizontal="right"/>
    </xf>
    <xf numFmtId="4" fontId="17" fillId="0" borderId="38" xfId="0" applyNumberFormat="1" applyFont="1" applyFill="1" applyBorder="1" applyAlignment="1">
      <alignment horizontal="right"/>
    </xf>
    <xf numFmtId="4" fontId="17" fillId="0" borderId="17" xfId="0" applyNumberFormat="1" applyFont="1" applyFill="1" applyBorder="1" applyAlignment="1">
      <alignment horizontal="right"/>
    </xf>
    <xf numFmtId="4" fontId="17" fillId="0" borderId="13" xfId="0" applyNumberFormat="1" applyFont="1" applyFill="1" applyBorder="1" applyAlignment="1">
      <alignment horizontal="right"/>
    </xf>
    <xf numFmtId="4" fontId="17" fillId="0" borderId="27" xfId="0" applyNumberFormat="1" applyFont="1" applyFill="1" applyBorder="1" applyAlignment="1">
      <alignment horizontal="right"/>
    </xf>
    <xf numFmtId="4" fontId="20" fillId="0" borderId="44" xfId="0" applyNumberFormat="1" applyFont="1" applyFill="1" applyBorder="1" applyAlignment="1">
      <alignment horizontal="left"/>
    </xf>
    <xf numFmtId="4" fontId="20" fillId="0" borderId="82" xfId="0" applyNumberFormat="1" applyFont="1" applyFill="1" applyBorder="1" applyAlignment="1">
      <alignment horizontal="right"/>
    </xf>
    <xf numFmtId="4" fontId="17" fillId="0" borderId="44" xfId="0" applyNumberFormat="1" applyFont="1" applyFill="1" applyBorder="1" applyAlignment="1">
      <alignment horizontal="right"/>
    </xf>
    <xf numFmtId="4" fontId="17" fillId="0" borderId="82" xfId="0" applyNumberFormat="1" applyFont="1" applyFill="1" applyBorder="1" applyAlignment="1">
      <alignment horizontal="right"/>
    </xf>
    <xf numFmtId="4" fontId="16" fillId="0" borderId="44" xfId="0" applyNumberFormat="1" applyFont="1" applyFill="1" applyBorder="1" applyAlignment="1">
      <alignment horizontal="right"/>
    </xf>
    <xf numFmtId="49" fontId="18" fillId="0" borderId="0" xfId="49" applyNumberFormat="1" applyFont="1" applyBorder="1" applyAlignment="1">
      <alignment horizontal="left"/>
      <protection/>
    </xf>
    <xf numFmtId="0" fontId="18" fillId="0" borderId="0" xfId="49" applyFont="1" applyBorder="1">
      <alignment/>
      <protection/>
    </xf>
    <xf numFmtId="49" fontId="18" fillId="0" borderId="0" xfId="49" applyNumberFormat="1" applyFont="1" applyBorder="1" applyAlignment="1">
      <alignment horizontal="center"/>
      <protection/>
    </xf>
    <xf numFmtId="3" fontId="18" fillId="0" borderId="0" xfId="49" applyNumberFormat="1" applyFont="1" applyBorder="1">
      <alignment/>
      <protection/>
    </xf>
    <xf numFmtId="0" fontId="1" fillId="0" borderId="0" xfId="0" applyFont="1" applyBorder="1" applyAlignment="1">
      <alignment/>
    </xf>
    <xf numFmtId="49" fontId="13" fillId="0" borderId="0" xfId="49" applyNumberFormat="1" applyFont="1" applyBorder="1" applyAlignment="1">
      <alignment horizontal="center"/>
      <protection/>
    </xf>
    <xf numFmtId="3" fontId="13" fillId="0" borderId="0" xfId="49" applyNumberFormat="1" applyFont="1" applyBorder="1">
      <alignment/>
      <protection/>
    </xf>
    <xf numFmtId="3" fontId="18" fillId="0" borderId="0" xfId="49" applyNumberFormat="1" applyFont="1" applyBorder="1" applyAlignment="1">
      <alignment horizontal="right"/>
      <protection/>
    </xf>
    <xf numFmtId="3" fontId="13" fillId="19" borderId="87" xfId="35" applyNumberFormat="1" applyFont="1" applyFill="1" applyBorder="1" applyAlignment="1">
      <alignment horizontal="center"/>
    </xf>
    <xf numFmtId="49" fontId="13" fillId="19" borderId="88" xfId="49" applyNumberFormat="1" applyFont="1" applyFill="1" applyBorder="1" applyAlignment="1">
      <alignment horizontal="center"/>
      <protection/>
    </xf>
    <xf numFmtId="49" fontId="13" fillId="19" borderId="88" xfId="49" applyNumberFormat="1" applyFont="1" applyFill="1" applyBorder="1" applyAlignment="1">
      <alignment horizontal="center"/>
      <protection/>
    </xf>
    <xf numFmtId="3" fontId="13" fillId="19" borderId="88" xfId="49" applyNumberFormat="1" applyFont="1" applyFill="1" applyBorder="1">
      <alignment/>
      <protection/>
    </xf>
    <xf numFmtId="3" fontId="13" fillId="19" borderId="87" xfId="49" applyNumberFormat="1" applyFont="1" applyFill="1" applyBorder="1">
      <alignment/>
      <protection/>
    </xf>
    <xf numFmtId="181" fontId="13" fillId="24" borderId="88" xfId="40" applyNumberFormat="1" applyFont="1" applyFill="1" applyBorder="1" applyAlignment="1">
      <alignment/>
    </xf>
    <xf numFmtId="49" fontId="13" fillId="24" borderId="88" xfId="49" applyNumberFormat="1" applyFont="1" applyFill="1" applyBorder="1" applyAlignment="1">
      <alignment horizontal="center"/>
      <protection/>
    </xf>
    <xf numFmtId="3" fontId="13" fillId="24" borderId="88" xfId="49" applyNumberFormat="1" applyFont="1" applyFill="1" applyBorder="1">
      <alignment/>
      <protection/>
    </xf>
    <xf numFmtId="3" fontId="13" fillId="24" borderId="87" xfId="49" applyNumberFormat="1" applyFont="1" applyFill="1" applyBorder="1">
      <alignment/>
      <protection/>
    </xf>
    <xf numFmtId="0" fontId="18" fillId="0" borderId="88" xfId="49" applyFont="1" applyBorder="1">
      <alignment/>
      <protection/>
    </xf>
    <xf numFmtId="49" fontId="18" fillId="0" borderId="88" xfId="49" applyNumberFormat="1" applyFont="1" applyBorder="1" applyAlignment="1">
      <alignment horizontal="center"/>
      <protection/>
    </xf>
    <xf numFmtId="3" fontId="18" fillId="0" borderId="88" xfId="49" applyNumberFormat="1" applyFont="1" applyBorder="1">
      <alignment/>
      <protection/>
    </xf>
    <xf numFmtId="3" fontId="18" fillId="0" borderId="87" xfId="49" applyNumberFormat="1" applyFont="1" applyBorder="1">
      <alignment/>
      <protection/>
    </xf>
    <xf numFmtId="0" fontId="13" fillId="0" borderId="88" xfId="49" applyFont="1" applyBorder="1">
      <alignment/>
      <protection/>
    </xf>
    <xf numFmtId="49" fontId="13" fillId="0" borderId="88" xfId="49" applyNumberFormat="1" applyFont="1" applyBorder="1" applyAlignment="1">
      <alignment horizontal="center"/>
      <protection/>
    </xf>
    <xf numFmtId="3" fontId="13" fillId="0" borderId="88" xfId="49" applyNumberFormat="1" applyFont="1" applyBorder="1">
      <alignment/>
      <protection/>
    </xf>
    <xf numFmtId="3" fontId="13" fillId="0" borderId="87" xfId="49" applyNumberFormat="1" applyFont="1" applyBorder="1">
      <alignment/>
      <protection/>
    </xf>
    <xf numFmtId="0" fontId="13" fillId="19" borderId="88" xfId="49" applyFont="1" applyFill="1" applyBorder="1">
      <alignment/>
      <protection/>
    </xf>
    <xf numFmtId="0" fontId="13" fillId="0" borderId="88" xfId="49" applyFont="1" applyBorder="1" applyAlignment="1">
      <alignment horizontal="left"/>
      <protection/>
    </xf>
    <xf numFmtId="49" fontId="13" fillId="0" borderId="88" xfId="49" applyNumberFormat="1" applyFont="1" applyBorder="1" applyAlignment="1">
      <alignment horizontal="center"/>
      <protection/>
    </xf>
    <xf numFmtId="3" fontId="13" fillId="0" borderId="88" xfId="49" applyNumberFormat="1" applyFont="1" applyBorder="1" applyAlignment="1">
      <alignment horizontal="right"/>
      <protection/>
    </xf>
    <xf numFmtId="3" fontId="13" fillId="0" borderId="87" xfId="35" applyNumberFormat="1" applyFont="1" applyBorder="1" applyAlignment="1">
      <alignment horizontal="right"/>
    </xf>
    <xf numFmtId="0" fontId="13" fillId="0" borderId="88" xfId="49" applyFont="1" applyBorder="1" applyAlignment="1">
      <alignment horizontal="left"/>
      <protection/>
    </xf>
    <xf numFmtId="3" fontId="13" fillId="0" borderId="88" xfId="49" applyNumberFormat="1" applyFont="1" applyBorder="1" applyAlignment="1">
      <alignment horizontal="right"/>
      <protection/>
    </xf>
    <xf numFmtId="3" fontId="13" fillId="0" borderId="87" xfId="35" applyNumberFormat="1" applyFont="1" applyBorder="1" applyAlignment="1">
      <alignment horizontal="right"/>
    </xf>
    <xf numFmtId="3" fontId="18" fillId="0" borderId="88" xfId="49" applyNumberFormat="1" applyFont="1" applyBorder="1" applyAlignment="1">
      <alignment horizontal="right"/>
      <protection/>
    </xf>
    <xf numFmtId="3" fontId="18" fillId="0" borderId="87" xfId="49" applyNumberFormat="1" applyFont="1" applyBorder="1" applyAlignment="1">
      <alignment horizontal="right"/>
      <protection/>
    </xf>
    <xf numFmtId="0" fontId="3" fillId="19" borderId="88" xfId="49" applyFont="1" applyFill="1" applyBorder="1">
      <alignment/>
      <protection/>
    </xf>
    <xf numFmtId="49" fontId="3" fillId="19" borderId="88" xfId="49" applyNumberFormat="1" applyFont="1" applyFill="1" applyBorder="1" applyAlignment="1">
      <alignment horizontal="center"/>
      <protection/>
    </xf>
    <xf numFmtId="3" fontId="3" fillId="19" borderId="88" xfId="49" applyNumberFormat="1" applyFont="1" applyFill="1" applyBorder="1">
      <alignment/>
      <protection/>
    </xf>
    <xf numFmtId="3" fontId="3" fillId="19" borderId="87" xfId="49" applyNumberFormat="1" applyFont="1" applyFill="1" applyBorder="1">
      <alignment/>
      <protection/>
    </xf>
    <xf numFmtId="0" fontId="13" fillId="19" borderId="88" xfId="49" applyFont="1" applyFill="1" applyBorder="1" applyAlignment="1">
      <alignment horizontal="left"/>
      <protection/>
    </xf>
    <xf numFmtId="0" fontId="18" fillId="0" borderId="89" xfId="49" applyFont="1" applyBorder="1">
      <alignment/>
      <protection/>
    </xf>
    <xf numFmtId="49" fontId="18" fillId="0" borderId="89" xfId="49" applyNumberFormat="1" applyFont="1" applyBorder="1" applyAlignment="1">
      <alignment horizontal="center"/>
      <protection/>
    </xf>
    <xf numFmtId="3" fontId="18" fillId="0" borderId="89" xfId="49" applyNumberFormat="1" applyFont="1" applyBorder="1">
      <alignment/>
      <protection/>
    </xf>
    <xf numFmtId="3" fontId="18" fillId="0" borderId="90" xfId="49" applyNumberFormat="1" applyFont="1" applyBorder="1">
      <alignment/>
      <protection/>
    </xf>
    <xf numFmtId="0" fontId="13" fillId="0" borderId="88" xfId="49" applyFont="1" applyBorder="1">
      <alignment/>
      <protection/>
    </xf>
    <xf numFmtId="3" fontId="13" fillId="19" borderId="88" xfId="49" applyNumberFormat="1" applyFont="1" applyFill="1" applyBorder="1" applyAlignment="1">
      <alignment horizontal="right"/>
      <protection/>
    </xf>
    <xf numFmtId="3" fontId="13" fillId="19" borderId="87" xfId="35" applyNumberFormat="1" applyFont="1" applyFill="1" applyBorder="1" applyAlignment="1">
      <alignment horizontal="right"/>
    </xf>
    <xf numFmtId="0" fontId="13" fillId="19" borderId="88" xfId="49" applyFont="1" applyFill="1" applyBorder="1" applyAlignment="1">
      <alignment horizontal="left"/>
      <protection/>
    </xf>
    <xf numFmtId="3" fontId="13" fillId="19" borderId="88" xfId="49" applyNumberFormat="1" applyFont="1" applyFill="1" applyBorder="1" applyAlignment="1">
      <alignment horizontal="right"/>
      <protection/>
    </xf>
    <xf numFmtId="3" fontId="13" fillId="19" borderId="87" xfId="35" applyNumberFormat="1" applyFont="1" applyFill="1" applyBorder="1" applyAlignment="1">
      <alignment horizontal="right"/>
    </xf>
    <xf numFmtId="3" fontId="13" fillId="19" borderId="87" xfId="35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5" fillId="25" borderId="79" xfId="48" applyFont="1" applyFill="1" applyBorder="1" applyAlignment="1">
      <alignment horizontal="center" vertical="center"/>
      <protection/>
    </xf>
    <xf numFmtId="0" fontId="13" fillId="25" borderId="56" xfId="48" applyFont="1" applyFill="1" applyBorder="1" applyAlignment="1">
      <alignment horizontal="center" vertical="center"/>
      <protection/>
    </xf>
    <xf numFmtId="3" fontId="3" fillId="25" borderId="78" xfId="0" applyNumberFormat="1" applyFont="1" applyFill="1" applyBorder="1" applyAlignment="1">
      <alignment horizontal="center" vertical="center" wrapText="1"/>
    </xf>
    <xf numFmtId="0" fontId="20" fillId="16" borderId="50" xfId="48" applyFont="1" applyFill="1" applyBorder="1" applyAlignment="1">
      <alignment horizontal="left"/>
      <protection/>
    </xf>
    <xf numFmtId="0" fontId="17" fillId="16" borderId="14" xfId="48" applyFont="1" applyFill="1" applyBorder="1" applyAlignment="1">
      <alignment horizontal="left"/>
      <protection/>
    </xf>
    <xf numFmtId="3" fontId="20" fillId="16" borderId="14" xfId="48" applyNumberFormat="1" applyFont="1" applyFill="1" applyBorder="1">
      <alignment/>
      <protection/>
    </xf>
    <xf numFmtId="3" fontId="20" fillId="16" borderId="20" xfId="48" applyNumberFormat="1" applyFont="1" applyFill="1" applyBorder="1">
      <alignment/>
      <protection/>
    </xf>
    <xf numFmtId="0" fontId="17" fillId="0" borderId="53" xfId="48" applyFont="1" applyFill="1" applyBorder="1" applyAlignment="1">
      <alignment horizontal="left"/>
      <protection/>
    </xf>
    <xf numFmtId="0" fontId="20" fillId="0" borderId="15" xfId="0" applyFont="1" applyBorder="1" applyAlignment="1">
      <alignment/>
    </xf>
    <xf numFmtId="4" fontId="20" fillId="0" borderId="38" xfId="0" applyNumberFormat="1" applyFont="1" applyBorder="1" applyAlignment="1">
      <alignment horizontal="right"/>
    </xf>
    <xf numFmtId="4" fontId="20" fillId="0" borderId="17" xfId="0" applyNumberFormat="1" applyFont="1" applyBorder="1" applyAlignment="1">
      <alignment horizontal="right"/>
    </xf>
    <xf numFmtId="4" fontId="20" fillId="0" borderId="30" xfId="0" applyNumberFormat="1" applyFont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17" fillId="0" borderId="58" xfId="48" applyFont="1" applyFill="1" applyBorder="1" applyAlignment="1">
      <alignment horizontal="left"/>
      <protection/>
    </xf>
    <xf numFmtId="3" fontId="17" fillId="0" borderId="91" xfId="48" applyNumberFormat="1" applyFont="1" applyFill="1" applyBorder="1">
      <alignment/>
      <protection/>
    </xf>
    <xf numFmtId="3" fontId="17" fillId="0" borderId="92" xfId="48" applyNumberFormat="1" applyFont="1" applyFill="1" applyBorder="1">
      <alignment/>
      <protection/>
    </xf>
    <xf numFmtId="0" fontId="17" fillId="0" borderId="59" xfId="48" applyFont="1" applyFill="1" applyBorder="1">
      <alignment/>
      <protection/>
    </xf>
    <xf numFmtId="0" fontId="17" fillId="0" borderId="66" xfId="48" applyFont="1" applyFill="1" applyBorder="1" applyAlignment="1">
      <alignment horizontal="left"/>
      <protection/>
    </xf>
    <xf numFmtId="0" fontId="17" fillId="0" borderId="93" xfId="48" applyFont="1" applyFill="1" applyBorder="1" applyAlignment="1">
      <alignment horizontal="left"/>
      <protection/>
    </xf>
    <xf numFmtId="0" fontId="17" fillId="0" borderId="88" xfId="48" applyFont="1" applyFill="1" applyBorder="1" applyAlignment="1">
      <alignment horizontal="left"/>
      <protection/>
    </xf>
    <xf numFmtId="3" fontId="17" fillId="0" borderId="94" xfId="48" applyNumberFormat="1" applyFont="1" applyFill="1" applyBorder="1">
      <alignment/>
      <protection/>
    </xf>
    <xf numFmtId="0" fontId="17" fillId="0" borderId="95" xfId="48" applyFont="1" applyFill="1" applyBorder="1" applyAlignment="1">
      <alignment horizontal="left"/>
      <protection/>
    </xf>
    <xf numFmtId="3" fontId="17" fillId="0" borderId="52" xfId="48" applyNumberFormat="1" applyFont="1" applyFill="1" applyBorder="1">
      <alignment/>
      <protection/>
    </xf>
    <xf numFmtId="0" fontId="13" fillId="19" borderId="36" xfId="48" applyFont="1" applyFill="1" applyBorder="1" applyAlignment="1">
      <alignment horizontal="left"/>
      <protection/>
    </xf>
    <xf numFmtId="0" fontId="13" fillId="19" borderId="96" xfId="48" applyFont="1" applyFill="1" applyBorder="1" applyAlignment="1">
      <alignment horizontal="left"/>
      <protection/>
    </xf>
    <xf numFmtId="3" fontId="18" fillId="19" borderId="97" xfId="35" applyNumberFormat="1" applyFont="1" applyFill="1" applyBorder="1" applyAlignment="1">
      <alignment horizontal="right"/>
    </xf>
    <xf numFmtId="0" fontId="18" fillId="19" borderId="98" xfId="48" applyFont="1" applyFill="1" applyBorder="1">
      <alignment/>
      <protection/>
    </xf>
    <xf numFmtId="4" fontId="0" fillId="0" borderId="0" xfId="0" applyNumberFormat="1" applyFill="1" applyAlignment="1">
      <alignment/>
    </xf>
    <xf numFmtId="4" fontId="17" fillId="0" borderId="65" xfId="0" applyNumberFormat="1" applyFont="1" applyFill="1" applyBorder="1" applyAlignment="1">
      <alignment/>
    </xf>
    <xf numFmtId="4" fontId="17" fillId="0" borderId="85" xfId="0" applyNumberFormat="1" applyFont="1" applyFill="1" applyBorder="1" applyAlignment="1">
      <alignment/>
    </xf>
    <xf numFmtId="4" fontId="17" fillId="0" borderId="37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4" fontId="17" fillId="0" borderId="72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17" fillId="0" borderId="86" xfId="0" applyNumberFormat="1" applyFont="1" applyFill="1" applyBorder="1" applyAlignment="1">
      <alignment/>
    </xf>
    <xf numFmtId="4" fontId="17" fillId="0" borderId="67" xfId="0" applyNumberFormat="1" applyFont="1" applyFill="1" applyBorder="1" applyAlignment="1">
      <alignment/>
    </xf>
    <xf numFmtId="4" fontId="17" fillId="0" borderId="84" xfId="0" applyNumberFormat="1" applyFont="1" applyFill="1" applyBorder="1" applyAlignment="1">
      <alignment/>
    </xf>
    <xf numFmtId="4" fontId="16" fillId="0" borderId="84" xfId="0" applyNumberFormat="1" applyFont="1" applyFill="1" applyBorder="1" applyAlignment="1">
      <alignment/>
    </xf>
    <xf numFmtId="3" fontId="17" fillId="0" borderId="88" xfId="48" applyNumberFormat="1" applyFont="1" applyFill="1" applyBorder="1">
      <alignment/>
      <protection/>
    </xf>
    <xf numFmtId="182" fontId="17" fillId="0" borderId="59" xfId="48" applyNumberFormat="1" applyFont="1" applyFill="1" applyBorder="1">
      <alignment/>
      <protection/>
    </xf>
    <xf numFmtId="4" fontId="20" fillId="0" borderId="44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 horizontal="right"/>
    </xf>
    <xf numFmtId="4" fontId="17" fillId="0" borderId="61" xfId="48" applyNumberFormat="1" applyFont="1" applyFill="1" applyBorder="1">
      <alignment/>
      <protection/>
    </xf>
    <xf numFmtId="0" fontId="3" fillId="0" borderId="0" xfId="0" applyFont="1" applyBorder="1" applyAlignment="1">
      <alignment/>
    </xf>
    <xf numFmtId="3" fontId="13" fillId="19" borderId="88" xfId="35" applyNumberFormat="1" applyFont="1" applyFill="1" applyBorder="1" applyAlignment="1">
      <alignment horizontal="center"/>
    </xf>
    <xf numFmtId="3" fontId="13" fillId="0" borderId="88" xfId="35" applyNumberFormat="1" applyFont="1" applyBorder="1" applyAlignment="1">
      <alignment horizontal="right"/>
    </xf>
    <xf numFmtId="3" fontId="13" fillId="0" borderId="88" xfId="35" applyNumberFormat="1" applyFont="1" applyBorder="1" applyAlignment="1">
      <alignment horizontal="right"/>
    </xf>
    <xf numFmtId="3" fontId="13" fillId="0" borderId="88" xfId="35" applyNumberFormat="1" applyFont="1" applyBorder="1" applyAlignment="1">
      <alignment horizontal="center"/>
    </xf>
    <xf numFmtId="3" fontId="13" fillId="19" borderId="88" xfId="35" applyNumberFormat="1" applyFont="1" applyFill="1" applyBorder="1" applyAlignment="1">
      <alignment horizontal="center"/>
    </xf>
    <xf numFmtId="183" fontId="0" fillId="0" borderId="0" xfId="35" applyNumberFormat="1" applyFont="1" applyAlignment="1">
      <alignment horizontal="right"/>
    </xf>
    <xf numFmtId="0" fontId="0" fillId="0" borderId="72" xfId="0" applyBorder="1" applyAlignment="1">
      <alignment/>
    </xf>
    <xf numFmtId="3" fontId="0" fillId="25" borderId="0" xfId="0" applyNumberFormat="1" applyFill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left"/>
    </xf>
    <xf numFmtId="3" fontId="28" fillId="24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8" fontId="1" fillId="0" borderId="0" xfId="34" applyNumberFormat="1" applyFont="1" applyFill="1" applyAlignment="1">
      <alignment/>
    </xf>
    <xf numFmtId="4" fontId="1" fillId="0" borderId="0" xfId="34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3" fontId="2" fillId="25" borderId="78" xfId="0" applyNumberFormat="1" applyFont="1" applyFill="1" applyBorder="1" applyAlignment="1">
      <alignment/>
    </xf>
    <xf numFmtId="0" fontId="5" fillId="25" borderId="39" xfId="0" applyFont="1" applyFill="1" applyBorder="1" applyAlignment="1">
      <alignment/>
    </xf>
    <xf numFmtId="0" fontId="2" fillId="25" borderId="39" xfId="0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" fillId="0" borderId="46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3" fillId="0" borderId="62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25" borderId="78" xfId="0" applyNumberFormat="1" applyFont="1" applyFill="1" applyBorder="1" applyAlignment="1">
      <alignment/>
    </xf>
    <xf numFmtId="0" fontId="1" fillId="25" borderId="78" xfId="0" applyFont="1" applyFill="1" applyBorder="1" applyAlignment="1">
      <alignment/>
    </xf>
    <xf numFmtId="0" fontId="4" fillId="25" borderId="39" xfId="0" applyFont="1" applyFill="1" applyBorder="1" applyAlignment="1">
      <alignment horizontal="left"/>
    </xf>
    <xf numFmtId="3" fontId="1" fillId="0" borderId="44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3" fontId="3" fillId="19" borderId="13" xfId="0" applyNumberFormat="1" applyFont="1" applyFill="1" applyBorder="1" applyAlignment="1">
      <alignment/>
    </xf>
    <xf numFmtId="0" fontId="3" fillId="19" borderId="13" xfId="0" applyFont="1" applyFill="1" applyBorder="1" applyAlignment="1">
      <alignment/>
    </xf>
    <xf numFmtId="3" fontId="3" fillId="19" borderId="10" xfId="0" applyNumberFormat="1" applyFont="1" applyFill="1" applyBorder="1" applyAlignment="1">
      <alignment horizontal="left"/>
    </xf>
    <xf numFmtId="3" fontId="1" fillId="0" borderId="27" xfId="0" applyNumberFormat="1" applyFont="1" applyFill="1" applyBorder="1" applyAlignment="1">
      <alignment/>
    </xf>
    <xf numFmtId="0" fontId="1" fillId="0" borderId="44" xfId="0" applyFont="1" applyFill="1" applyBorder="1" applyAlignment="1">
      <alignment/>
    </xf>
    <xf numFmtId="3" fontId="1" fillId="0" borderId="25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3" fontId="3" fillId="19" borderId="17" xfId="0" applyNumberFormat="1" applyFont="1" applyFill="1" applyBorder="1" applyAlignment="1">
      <alignment/>
    </xf>
    <xf numFmtId="0" fontId="1" fillId="19" borderId="69" xfId="0" applyFont="1" applyFill="1" applyBorder="1" applyAlignment="1">
      <alignment/>
    </xf>
    <xf numFmtId="0" fontId="3" fillId="19" borderId="69" xfId="0" applyFont="1" applyFill="1" applyBorder="1" applyAlignment="1">
      <alignment horizontal="left"/>
    </xf>
    <xf numFmtId="0" fontId="5" fillId="25" borderId="39" xfId="0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25" borderId="78" xfId="0" applyNumberFormat="1" applyFont="1" applyFill="1" applyBorder="1" applyAlignment="1">
      <alignment vertical="center"/>
    </xf>
    <xf numFmtId="3" fontId="3" fillId="25" borderId="39" xfId="0" applyNumberFormat="1" applyFont="1" applyFill="1" applyBorder="1" applyAlignment="1">
      <alignment vertical="center"/>
    </xf>
    <xf numFmtId="0" fontId="1" fillId="25" borderId="39" xfId="0" applyFont="1" applyFill="1" applyBorder="1" applyAlignment="1">
      <alignment vertical="center"/>
    </xf>
    <xf numFmtId="0" fontId="4" fillId="25" borderId="3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left"/>
    </xf>
    <xf numFmtId="3" fontId="3" fillId="19" borderId="10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left"/>
    </xf>
    <xf numFmtId="0" fontId="1" fillId="0" borderId="68" xfId="0" applyFont="1" applyFill="1" applyBorder="1" applyAlignment="1">
      <alignment/>
    </xf>
    <xf numFmtId="0" fontId="3" fillId="19" borderId="46" xfId="0" applyFont="1" applyFill="1" applyBorder="1" applyAlignment="1">
      <alignment/>
    </xf>
    <xf numFmtId="3" fontId="3" fillId="19" borderId="46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3" fillId="19" borderId="15" xfId="0" applyNumberFormat="1" applyFont="1" applyFill="1" applyBorder="1" applyAlignment="1">
      <alignment/>
    </xf>
    <xf numFmtId="0" fontId="2" fillId="25" borderId="83" xfId="0" applyFont="1" applyFill="1" applyBorder="1" applyAlignment="1">
      <alignment horizontal="left" vertical="center"/>
    </xf>
    <xf numFmtId="3" fontId="3" fillId="0" borderId="72" xfId="0" applyNumberFormat="1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7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25" borderId="40" xfId="0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3" fillId="19" borderId="99" xfId="0" applyNumberFormat="1" applyFont="1" applyFill="1" applyBorder="1" applyAlignment="1">
      <alignment/>
    </xf>
    <xf numFmtId="3" fontId="3" fillId="19" borderId="25" xfId="0" applyNumberFormat="1" applyFont="1" applyFill="1" applyBorder="1" applyAlignment="1">
      <alignment/>
    </xf>
    <xf numFmtId="0" fontId="1" fillId="19" borderId="26" xfId="0" applyFont="1" applyFill="1" applyBorder="1" applyAlignment="1">
      <alignment/>
    </xf>
    <xf numFmtId="0" fontId="3" fillId="19" borderId="25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3" fontId="1" fillId="0" borderId="100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69" xfId="0" applyNumberFormat="1" applyFont="1" applyFill="1" applyBorder="1" applyAlignment="1">
      <alignment/>
    </xf>
    <xf numFmtId="3" fontId="12" fillId="19" borderId="43" xfId="0" applyNumberFormat="1" applyFont="1" applyFill="1" applyBorder="1" applyAlignment="1">
      <alignment/>
    </xf>
    <xf numFmtId="0" fontId="3" fillId="19" borderId="31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3" fillId="19" borderId="24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3" fontId="1" fillId="0" borderId="99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0" fontId="5" fillId="25" borderId="4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88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3" fillId="0" borderId="88" xfId="0" applyFont="1" applyFill="1" applyBorder="1" applyAlignment="1">
      <alignment/>
    </xf>
    <xf numFmtId="0" fontId="3" fillId="0" borderId="88" xfId="0" applyFont="1" applyFill="1" applyBorder="1" applyAlignment="1">
      <alignment/>
    </xf>
    <xf numFmtId="0" fontId="1" fillId="0" borderId="89" xfId="0" applyFont="1" applyFill="1" applyBorder="1" applyAlignment="1">
      <alignment/>
    </xf>
    <xf numFmtId="49" fontId="13" fillId="25" borderId="88" xfId="49" applyNumberFormat="1" applyFont="1" applyFill="1" applyBorder="1" applyAlignment="1">
      <alignment horizontal="center"/>
      <protection/>
    </xf>
    <xf numFmtId="0" fontId="13" fillId="25" borderId="88" xfId="49" applyFont="1" applyFill="1" applyBorder="1" applyAlignment="1">
      <alignment horizontal="center"/>
      <protection/>
    </xf>
    <xf numFmtId="3" fontId="13" fillId="25" borderId="88" xfId="49" applyNumberFormat="1" applyFont="1" applyFill="1" applyBorder="1" applyAlignment="1">
      <alignment horizontal="center"/>
      <protection/>
    </xf>
    <xf numFmtId="3" fontId="13" fillId="25" borderId="87" xfId="35" applyNumberFormat="1" applyFont="1" applyFill="1" applyBorder="1" applyAlignment="1">
      <alignment horizontal="center"/>
    </xf>
    <xf numFmtId="3" fontId="13" fillId="25" borderId="88" xfId="35" applyNumberFormat="1" applyFont="1" applyFill="1" applyBorder="1" applyAlignment="1">
      <alignment horizontal="center"/>
    </xf>
    <xf numFmtId="3" fontId="0" fillId="0" borderId="64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183" fontId="0" fillId="0" borderId="17" xfId="35" applyNumberFormat="1" applyFont="1" applyBorder="1" applyAlignment="1">
      <alignment horizontal="right"/>
    </xf>
    <xf numFmtId="3" fontId="0" fillId="0" borderId="88" xfId="0" applyNumberFormat="1" applyFont="1" applyBorder="1" applyAlignment="1">
      <alignment horizontal="right"/>
    </xf>
    <xf numFmtId="3" fontId="0" fillId="0" borderId="87" xfId="0" applyNumberFormat="1" applyFont="1" applyBorder="1" applyAlignment="1">
      <alignment horizontal="right"/>
    </xf>
    <xf numFmtId="183" fontId="0" fillId="0" borderId="13" xfId="35" applyNumberFormat="1" applyFont="1" applyBorder="1" applyAlignment="1">
      <alignment horizontal="right"/>
    </xf>
    <xf numFmtId="3" fontId="0" fillId="0" borderId="91" xfId="0" applyNumberFormat="1" applyFont="1" applyBorder="1" applyAlignment="1">
      <alignment horizontal="right"/>
    </xf>
    <xf numFmtId="3" fontId="0" fillId="0" borderId="101" xfId="0" applyNumberFormat="1" applyFont="1" applyBorder="1" applyAlignment="1">
      <alignment horizontal="right"/>
    </xf>
    <xf numFmtId="183" fontId="0" fillId="0" borderId="27" xfId="35" applyNumberFormat="1" applyFont="1" applyBorder="1" applyAlignment="1">
      <alignment horizontal="right"/>
    </xf>
    <xf numFmtId="3" fontId="0" fillId="0" borderId="89" xfId="0" applyNumberFormat="1" applyFont="1" applyBorder="1" applyAlignment="1">
      <alignment horizontal="right"/>
    </xf>
    <xf numFmtId="3" fontId="0" fillId="0" borderId="90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0" fontId="23" fillId="25" borderId="47" xfId="0" applyFont="1" applyFill="1" applyBorder="1" applyAlignment="1">
      <alignment horizontal="center"/>
    </xf>
    <xf numFmtId="0" fontId="23" fillId="25" borderId="48" xfId="0" applyFont="1" applyFill="1" applyBorder="1" applyAlignment="1">
      <alignment horizontal="center"/>
    </xf>
    <xf numFmtId="0" fontId="23" fillId="25" borderId="38" xfId="0" applyFont="1" applyFill="1" applyBorder="1" applyAlignment="1">
      <alignment horizontal="center"/>
    </xf>
    <xf numFmtId="0" fontId="23" fillId="25" borderId="102" xfId="0" applyFont="1" applyFill="1" applyBorder="1" applyAlignment="1">
      <alignment horizontal="center"/>
    </xf>
    <xf numFmtId="0" fontId="23" fillId="25" borderId="97" xfId="0" applyFont="1" applyFill="1" applyBorder="1" applyAlignment="1">
      <alignment horizontal="center"/>
    </xf>
    <xf numFmtId="0" fontId="23" fillId="25" borderId="37" xfId="0" applyFont="1" applyFill="1" applyBorder="1" applyAlignment="1">
      <alignment horizontal="center"/>
    </xf>
    <xf numFmtId="0" fontId="23" fillId="25" borderId="47" xfId="0" applyFont="1" applyFill="1" applyBorder="1" applyAlignment="1">
      <alignment horizontal="center"/>
    </xf>
    <xf numFmtId="0" fontId="23" fillId="25" borderId="48" xfId="0" applyFont="1" applyFill="1" applyBorder="1" applyAlignment="1">
      <alignment horizontal="center"/>
    </xf>
    <xf numFmtId="0" fontId="23" fillId="25" borderId="95" xfId="0" applyFont="1" applyFill="1" applyBorder="1" applyAlignment="1">
      <alignment horizontal="center"/>
    </xf>
    <xf numFmtId="0" fontId="23" fillId="25" borderId="84" xfId="0" applyFont="1" applyFill="1" applyBorder="1" applyAlignment="1">
      <alignment horizontal="center"/>
    </xf>
    <xf numFmtId="0" fontId="23" fillId="25" borderId="44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3" fillId="25" borderId="103" xfId="0" applyFont="1" applyFill="1" applyBorder="1" applyAlignment="1">
      <alignment horizontal="center"/>
    </xf>
    <xf numFmtId="0" fontId="23" fillId="25" borderId="104" xfId="0" applyFont="1" applyFill="1" applyBorder="1" applyAlignment="1">
      <alignment horizontal="center"/>
    </xf>
    <xf numFmtId="0" fontId="23" fillId="25" borderId="105" xfId="0" applyFont="1" applyFill="1" applyBorder="1" applyAlignment="1">
      <alignment horizontal="center"/>
    </xf>
    <xf numFmtId="0" fontId="23" fillId="25" borderId="85" xfId="0" applyFont="1" applyFill="1" applyBorder="1" applyAlignment="1">
      <alignment horizontal="center"/>
    </xf>
    <xf numFmtId="0" fontId="23" fillId="25" borderId="82" xfId="0" applyFont="1" applyFill="1" applyBorder="1" applyAlignment="1">
      <alignment horizontal="center"/>
    </xf>
    <xf numFmtId="0" fontId="23" fillId="25" borderId="72" xfId="0" applyFont="1" applyFill="1" applyBorder="1" applyAlignment="1">
      <alignment horizontal="center"/>
    </xf>
    <xf numFmtId="49" fontId="23" fillId="25" borderId="38" xfId="35" applyNumberFormat="1" applyFont="1" applyFill="1" applyBorder="1" applyAlignment="1">
      <alignment horizontal="center"/>
    </xf>
    <xf numFmtId="49" fontId="23" fillId="25" borderId="44" xfId="35" applyNumberFormat="1" applyFont="1" applyFill="1" applyBorder="1" applyAlignment="1">
      <alignment horizontal="center"/>
    </xf>
    <xf numFmtId="49" fontId="23" fillId="25" borderId="82" xfId="35" applyNumberFormat="1" applyFont="1" applyFill="1" applyBorder="1" applyAlignment="1">
      <alignment horizontal="center"/>
    </xf>
    <xf numFmtId="0" fontId="30" fillId="0" borderId="0" xfId="50">
      <alignment/>
      <protection/>
    </xf>
    <xf numFmtId="0" fontId="3" fillId="0" borderId="0" xfId="50" applyFont="1" applyBorder="1" applyAlignment="1">
      <alignment horizontal="center" vertical="center"/>
      <protection/>
    </xf>
    <xf numFmtId="0" fontId="1" fillId="0" borderId="0" xfId="50" applyFont="1" applyBorder="1" applyAlignment="1">
      <alignment horizontal="center" vertical="center"/>
      <protection/>
    </xf>
    <xf numFmtId="0" fontId="3" fillId="25" borderId="56" xfId="50" applyFont="1" applyFill="1" applyBorder="1" applyAlignment="1">
      <alignment horizontal="center" vertical="center" wrapText="1"/>
      <protection/>
    </xf>
    <xf numFmtId="0" fontId="1" fillId="0" borderId="0" xfId="50" applyFont="1">
      <alignment/>
      <protection/>
    </xf>
    <xf numFmtId="0" fontId="1" fillId="0" borderId="91" xfId="50" applyFont="1" applyBorder="1">
      <alignment/>
      <protection/>
    </xf>
    <xf numFmtId="0" fontId="1" fillId="0" borderId="88" xfId="50" applyFont="1" applyBorder="1">
      <alignment/>
      <protection/>
    </xf>
    <xf numFmtId="0" fontId="1" fillId="0" borderId="88" xfId="50" applyFont="1" applyBorder="1" applyAlignment="1">
      <alignment horizontal="left"/>
      <protection/>
    </xf>
    <xf numFmtId="0" fontId="3" fillId="0" borderId="72" xfId="50" applyFont="1" applyBorder="1" applyAlignment="1">
      <alignment horizontal="center" vertical="center"/>
      <protection/>
    </xf>
    <xf numFmtId="0" fontId="1" fillId="0" borderId="64" xfId="50" applyFont="1" applyBorder="1">
      <alignment/>
      <protection/>
    </xf>
    <xf numFmtId="0" fontId="1" fillId="0" borderId="52" xfId="50" applyFont="1" applyBorder="1">
      <alignment/>
      <protection/>
    </xf>
    <xf numFmtId="0" fontId="3" fillId="25" borderId="57" xfId="50" applyFont="1" applyFill="1" applyBorder="1" applyAlignment="1">
      <alignment horizontal="center" vertical="center" wrapText="1"/>
      <protection/>
    </xf>
    <xf numFmtId="0" fontId="3" fillId="25" borderId="106" xfId="50" applyFont="1" applyFill="1" applyBorder="1" applyAlignment="1">
      <alignment horizontal="center" vertical="center" wrapText="1"/>
      <protection/>
    </xf>
    <xf numFmtId="0" fontId="1" fillId="0" borderId="66" xfId="50" applyFont="1" applyBorder="1" applyAlignment="1">
      <alignment horizontal="center"/>
      <protection/>
    </xf>
    <xf numFmtId="0" fontId="1" fillId="0" borderId="14" xfId="50" applyFont="1" applyBorder="1" applyAlignment="1">
      <alignment horizontal="center"/>
      <protection/>
    </xf>
    <xf numFmtId="0" fontId="1" fillId="0" borderId="53" xfId="50" applyFont="1" applyBorder="1" applyAlignment="1">
      <alignment horizontal="center"/>
      <protection/>
    </xf>
    <xf numFmtId="0" fontId="3" fillId="25" borderId="78" xfId="50" applyFont="1" applyFill="1" applyBorder="1" applyAlignment="1">
      <alignment horizontal="center" vertical="center" wrapText="1"/>
      <protection/>
    </xf>
    <xf numFmtId="0" fontId="1" fillId="0" borderId="17" xfId="50" applyFont="1" applyBorder="1" applyAlignment="1">
      <alignment horizontal="center"/>
      <protection/>
    </xf>
    <xf numFmtId="0" fontId="1" fillId="0" borderId="13" xfId="50" applyFont="1" applyBorder="1" applyAlignment="1">
      <alignment horizontal="center"/>
      <protection/>
    </xf>
    <xf numFmtId="0" fontId="1" fillId="0" borderId="30" xfId="50" applyFont="1" applyBorder="1" applyAlignment="1">
      <alignment horizontal="center"/>
      <protection/>
    </xf>
    <xf numFmtId="0" fontId="3" fillId="25" borderId="55" xfId="50" applyFont="1" applyFill="1" applyBorder="1" applyAlignment="1">
      <alignment horizontal="center" vertical="center" wrapText="1"/>
      <protection/>
    </xf>
    <xf numFmtId="0" fontId="1" fillId="0" borderId="101" xfId="50" applyFont="1" applyBorder="1">
      <alignment/>
      <protection/>
    </xf>
    <xf numFmtId="0" fontId="1" fillId="0" borderId="87" xfId="50" applyFont="1" applyBorder="1">
      <alignment/>
      <protection/>
    </xf>
    <xf numFmtId="0" fontId="1" fillId="0" borderId="107" xfId="50" applyFont="1" applyBorder="1">
      <alignment/>
      <protection/>
    </xf>
    <xf numFmtId="3" fontId="1" fillId="0" borderId="17" xfId="50" applyNumberFormat="1" applyFont="1" applyBorder="1">
      <alignment/>
      <protection/>
    </xf>
    <xf numFmtId="3" fontId="1" fillId="0" borderId="13" xfId="50" applyNumberFormat="1" applyFont="1" applyBorder="1">
      <alignment/>
      <protection/>
    </xf>
    <xf numFmtId="3" fontId="1" fillId="0" borderId="30" xfId="50" applyNumberFormat="1" applyFont="1" applyBorder="1">
      <alignment/>
      <protection/>
    </xf>
    <xf numFmtId="0" fontId="1" fillId="0" borderId="89" xfId="50" applyFont="1" applyBorder="1">
      <alignment/>
      <protection/>
    </xf>
    <xf numFmtId="0" fontId="1" fillId="0" borderId="108" xfId="50" applyFont="1" applyBorder="1" applyAlignment="1">
      <alignment horizontal="center"/>
      <protection/>
    </xf>
    <xf numFmtId="0" fontId="1" fillId="0" borderId="94" xfId="50" applyFont="1" applyBorder="1" applyAlignment="1">
      <alignment horizontal="center"/>
      <protection/>
    </xf>
    <xf numFmtId="0" fontId="1" fillId="0" borderId="12" xfId="50" applyFont="1" applyBorder="1" applyAlignment="1">
      <alignment horizontal="center"/>
      <protection/>
    </xf>
    <xf numFmtId="0" fontId="1" fillId="0" borderId="27" xfId="50" applyFont="1" applyBorder="1" applyAlignment="1">
      <alignment horizontal="center"/>
      <protection/>
    </xf>
    <xf numFmtId="0" fontId="1" fillId="0" borderId="63" xfId="50" applyFont="1" applyBorder="1">
      <alignment/>
      <protection/>
    </xf>
    <xf numFmtId="0" fontId="1" fillId="0" borderId="90" xfId="50" applyFont="1" applyBorder="1">
      <alignment/>
      <protection/>
    </xf>
    <xf numFmtId="3" fontId="1" fillId="0" borderId="12" xfId="50" applyNumberFormat="1" applyFont="1" applyBorder="1">
      <alignment/>
      <protection/>
    </xf>
    <xf numFmtId="3" fontId="1" fillId="0" borderId="27" xfId="50" applyNumberFormat="1" applyFont="1" applyBorder="1">
      <alignment/>
      <protection/>
    </xf>
    <xf numFmtId="0" fontId="3" fillId="25" borderId="78" xfId="50" applyFont="1" applyFill="1" applyBorder="1" applyAlignment="1">
      <alignment horizontal="center" vertical="center" wrapText="1"/>
      <protection/>
    </xf>
    <xf numFmtId="0" fontId="3" fillId="25" borderId="106" xfId="50" applyFont="1" applyFill="1" applyBorder="1" applyAlignment="1">
      <alignment horizontal="center" vertical="center" wrapText="1"/>
      <protection/>
    </xf>
    <xf numFmtId="0" fontId="3" fillId="0" borderId="0" xfId="50" applyFont="1">
      <alignment/>
      <protection/>
    </xf>
    <xf numFmtId="3" fontId="3" fillId="25" borderId="78" xfId="50" applyNumberFormat="1" applyFont="1" applyFill="1" applyBorder="1" applyAlignment="1">
      <alignment horizontal="right" vertical="center"/>
      <protection/>
    </xf>
    <xf numFmtId="0" fontId="3" fillId="25" borderId="78" xfId="50" applyFont="1" applyFill="1" applyBorder="1" applyAlignment="1">
      <alignment horizontal="center" vertical="center"/>
      <protection/>
    </xf>
    <xf numFmtId="0" fontId="13" fillId="25" borderId="106" xfId="50" applyFont="1" applyFill="1" applyBorder="1" applyAlignment="1">
      <alignment horizontal="center" vertical="center" wrapText="1"/>
      <protection/>
    </xf>
    <xf numFmtId="0" fontId="18" fillId="0" borderId="66" xfId="50" applyFont="1" applyFill="1" applyBorder="1">
      <alignment/>
      <protection/>
    </xf>
    <xf numFmtId="0" fontId="1" fillId="0" borderId="14" xfId="50" applyFont="1" applyBorder="1">
      <alignment/>
      <protection/>
    </xf>
    <xf numFmtId="0" fontId="1" fillId="25" borderId="14" xfId="50" applyFont="1" applyFill="1" applyBorder="1">
      <alignment/>
      <protection/>
    </xf>
    <xf numFmtId="0" fontId="1" fillId="0" borderId="14" xfId="50" applyFont="1" applyFill="1" applyBorder="1">
      <alignment/>
      <protection/>
    </xf>
    <xf numFmtId="0" fontId="1" fillId="0" borderId="94" xfId="50" applyFont="1" applyBorder="1">
      <alignment/>
      <protection/>
    </xf>
    <xf numFmtId="0" fontId="13" fillId="25" borderId="78" xfId="50" applyFont="1" applyFill="1" applyBorder="1" applyAlignment="1">
      <alignment horizontal="center" vertical="center" wrapText="1"/>
      <protection/>
    </xf>
    <xf numFmtId="0" fontId="18" fillId="0" borderId="17" xfId="50" applyFont="1" applyFill="1" applyBorder="1" applyAlignment="1">
      <alignment horizontal="center"/>
      <protection/>
    </xf>
    <xf numFmtId="0" fontId="1" fillId="25" borderId="13" xfId="50" applyFont="1" applyFill="1" applyBorder="1" applyAlignment="1">
      <alignment horizontal="center"/>
      <protection/>
    </xf>
    <xf numFmtId="0" fontId="1" fillId="0" borderId="13" xfId="50" applyFont="1" applyFill="1" applyBorder="1" applyAlignment="1">
      <alignment horizontal="center"/>
      <protection/>
    </xf>
    <xf numFmtId="0" fontId="13" fillId="25" borderId="55" xfId="50" applyFont="1" applyFill="1" applyBorder="1" applyAlignment="1">
      <alignment horizontal="center" vertical="center" wrapText="1"/>
      <protection/>
    </xf>
    <xf numFmtId="0" fontId="18" fillId="0" borderId="101" xfId="50" applyFont="1" applyFill="1" applyBorder="1">
      <alignment/>
      <protection/>
    </xf>
    <xf numFmtId="0" fontId="1" fillId="25" borderId="87" xfId="50" applyFont="1" applyFill="1" applyBorder="1">
      <alignment/>
      <protection/>
    </xf>
    <xf numFmtId="0" fontId="1" fillId="0" borderId="87" xfId="50" applyFont="1" applyFill="1" applyBorder="1">
      <alignment/>
      <protection/>
    </xf>
    <xf numFmtId="3" fontId="1" fillId="0" borderId="87" xfId="50" applyNumberFormat="1" applyFont="1" applyBorder="1">
      <alignment/>
      <protection/>
    </xf>
    <xf numFmtId="0" fontId="18" fillId="0" borderId="87" xfId="50" applyFont="1" applyFill="1" applyBorder="1">
      <alignment/>
      <protection/>
    </xf>
    <xf numFmtId="3" fontId="18" fillId="0" borderId="17" xfId="50" applyNumberFormat="1" applyFont="1" applyFill="1" applyBorder="1">
      <alignment/>
      <protection/>
    </xf>
    <xf numFmtId="3" fontId="1" fillId="25" borderId="13" xfId="50" applyNumberFormat="1" applyFont="1" applyFill="1" applyBorder="1">
      <alignment/>
      <protection/>
    </xf>
    <xf numFmtId="3" fontId="1" fillId="0" borderId="13" xfId="50" applyNumberFormat="1" applyFont="1" applyFill="1" applyBorder="1">
      <alignment/>
      <protection/>
    </xf>
    <xf numFmtId="3" fontId="1" fillId="0" borderId="13" xfId="50" applyNumberFormat="1" applyFont="1" applyBorder="1" applyAlignment="1">
      <alignment horizontal="right"/>
      <protection/>
    </xf>
    <xf numFmtId="4" fontId="1" fillId="0" borderId="13" xfId="50" applyNumberFormat="1" applyFont="1" applyBorder="1">
      <alignment/>
      <protection/>
    </xf>
    <xf numFmtId="0" fontId="1" fillId="0" borderId="53" xfId="50" applyFont="1" applyBorder="1">
      <alignment/>
      <protection/>
    </xf>
    <xf numFmtId="0" fontId="1" fillId="0" borderId="30" xfId="50" applyFont="1" applyFill="1" applyBorder="1" applyAlignment="1">
      <alignment horizontal="center"/>
      <protection/>
    </xf>
    <xf numFmtId="0" fontId="1" fillId="0" borderId="53" xfId="50" applyFont="1" applyFill="1" applyBorder="1">
      <alignment/>
      <protection/>
    </xf>
    <xf numFmtId="0" fontId="1" fillId="0" borderId="107" xfId="50" applyFont="1" applyFill="1" applyBorder="1">
      <alignment/>
      <protection/>
    </xf>
    <xf numFmtId="4" fontId="15" fillId="0" borderId="0" xfId="50" applyNumberFormat="1" applyFont="1" applyAlignment="1">
      <alignment horizontal="left" vertical="center"/>
      <protection/>
    </xf>
    <xf numFmtId="0" fontId="31" fillId="0" borderId="0" xfId="50" applyFont="1">
      <alignment/>
      <protection/>
    </xf>
    <xf numFmtId="4" fontId="31" fillId="0" borderId="0" xfId="50" applyNumberFormat="1" applyFont="1">
      <alignment/>
      <protection/>
    </xf>
    <xf numFmtId="4" fontId="32" fillId="0" borderId="0" xfId="50" applyNumberFormat="1" applyFont="1" applyAlignment="1">
      <alignment horizontal="right"/>
      <protection/>
    </xf>
    <xf numFmtId="0" fontId="30" fillId="0" borderId="0" xfId="50" applyFont="1" applyFill="1">
      <alignment/>
      <protection/>
    </xf>
    <xf numFmtId="0" fontId="30" fillId="0" borderId="0" xfId="50" applyAlignment="1">
      <alignment vertical="center"/>
      <protection/>
    </xf>
    <xf numFmtId="0" fontId="34" fillId="0" borderId="0" xfId="50" applyFont="1" applyFill="1" applyBorder="1" applyAlignment="1">
      <alignment horizontal="left" vertical="center"/>
      <protection/>
    </xf>
    <xf numFmtId="0" fontId="34" fillId="0" borderId="0" xfId="50" applyFont="1" applyFill="1" applyBorder="1" applyAlignment="1">
      <alignment horizontal="left" vertical="center" indent="1"/>
      <protection/>
    </xf>
    <xf numFmtId="4" fontId="36" fillId="0" borderId="0" xfId="50" applyNumberFormat="1" applyFont="1" applyFill="1" applyBorder="1" applyAlignment="1">
      <alignment horizontal="right" vertical="center"/>
      <protection/>
    </xf>
    <xf numFmtId="4" fontId="36" fillId="0" borderId="0" xfId="50" applyNumberFormat="1" applyFont="1" applyFill="1" applyBorder="1" applyAlignment="1">
      <alignment horizontal="right"/>
      <protection/>
    </xf>
    <xf numFmtId="0" fontId="30" fillId="0" borderId="0" xfId="50" applyFill="1">
      <alignment/>
      <protection/>
    </xf>
    <xf numFmtId="0" fontId="30" fillId="0" borderId="0" xfId="50" applyFont="1" applyFill="1">
      <alignment/>
      <protection/>
    </xf>
    <xf numFmtId="0" fontId="34" fillId="0" borderId="47" xfId="50" applyFont="1" applyFill="1" applyBorder="1" applyAlignment="1">
      <alignment horizontal="left" vertical="center"/>
      <protection/>
    </xf>
    <xf numFmtId="0" fontId="34" fillId="0" borderId="109" xfId="50" applyFont="1" applyFill="1" applyBorder="1" applyAlignment="1">
      <alignment horizontal="left" vertical="center" indent="1"/>
      <protection/>
    </xf>
    <xf numFmtId="4" fontId="35" fillId="0" borderId="110" xfId="50" applyNumberFormat="1" applyFont="1" applyFill="1" applyBorder="1" applyAlignment="1">
      <alignment horizontal="right" vertical="center"/>
      <protection/>
    </xf>
    <xf numFmtId="4" fontId="35" fillId="0" borderId="111" xfId="50" applyNumberFormat="1" applyFont="1" applyFill="1" applyBorder="1" applyAlignment="1">
      <alignment horizontal="right" vertical="center"/>
      <protection/>
    </xf>
    <xf numFmtId="4" fontId="35" fillId="0" borderId="95" xfId="50" applyNumberFormat="1" applyFont="1" applyFill="1" applyBorder="1" applyAlignment="1">
      <alignment horizontal="right" vertical="center"/>
      <protection/>
    </xf>
    <xf numFmtId="4" fontId="35" fillId="0" borderId="84" xfId="50" applyNumberFormat="1" applyFont="1" applyFill="1" applyBorder="1" applyAlignment="1">
      <alignment horizontal="right" vertical="center"/>
      <protection/>
    </xf>
    <xf numFmtId="4" fontId="30" fillId="0" borderId="0" xfId="50" applyNumberFormat="1">
      <alignment/>
      <protection/>
    </xf>
    <xf numFmtId="0" fontId="23" fillId="0" borderId="0" xfId="50" applyFont="1" applyFill="1">
      <alignment/>
      <protection/>
    </xf>
    <xf numFmtId="4" fontId="23" fillId="0" borderId="84" xfId="50" applyNumberFormat="1" applyFont="1" applyFill="1" applyBorder="1" applyAlignment="1">
      <alignment horizontal="right" vertical="center"/>
      <protection/>
    </xf>
    <xf numFmtId="4" fontId="23" fillId="0" borderId="48" xfId="50" applyNumberFormat="1" applyFont="1" applyFill="1" applyBorder="1" applyAlignment="1">
      <alignment horizontal="right" vertical="center"/>
      <protection/>
    </xf>
    <xf numFmtId="4" fontId="23" fillId="0" borderId="0" xfId="50" applyNumberFormat="1" applyFont="1" applyFill="1" applyBorder="1" applyAlignment="1">
      <alignment horizontal="right" vertical="center"/>
      <protection/>
    </xf>
    <xf numFmtId="4" fontId="23" fillId="0" borderId="44" xfId="50" applyNumberFormat="1" applyFont="1" applyFill="1" applyBorder="1" applyAlignment="1">
      <alignment horizontal="right" vertical="center"/>
      <protection/>
    </xf>
    <xf numFmtId="0" fontId="32" fillId="0" borderId="109" xfId="50" applyFont="1" applyFill="1" applyBorder="1" applyAlignment="1">
      <alignment horizontal="left" vertical="center" indent="1"/>
      <protection/>
    </xf>
    <xf numFmtId="0" fontId="32" fillId="0" borderId="47" xfId="50" applyFont="1" applyFill="1" applyBorder="1" applyAlignment="1">
      <alignment horizontal="center" vertical="center"/>
      <protection/>
    </xf>
    <xf numFmtId="0" fontId="30" fillId="0" borderId="0" xfId="50" applyFont="1">
      <alignment/>
      <protection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Border="1" applyAlignment="1">
      <alignment horizontal="left" vertical="center" indent="6"/>
    </xf>
    <xf numFmtId="0" fontId="33" fillId="0" borderId="0" xfId="0" applyFont="1" applyBorder="1" applyAlignment="1">
      <alignment horizontal="left" vertical="center" indent="1"/>
    </xf>
    <xf numFmtId="0" fontId="37" fillId="0" borderId="0" xfId="0" applyFont="1" applyAlignment="1">
      <alignment/>
    </xf>
    <xf numFmtId="4" fontId="33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3"/>
    </xf>
    <xf numFmtId="4" fontId="15" fillId="0" borderId="0" xfId="50" applyNumberFormat="1" applyFont="1" applyAlignment="1">
      <alignment vertical="center"/>
      <protection/>
    </xf>
    <xf numFmtId="0" fontId="38" fillId="0" borderId="0" xfId="50" applyFont="1">
      <alignment/>
      <protection/>
    </xf>
    <xf numFmtId="0" fontId="39" fillId="0" borderId="0" xfId="50" applyFont="1" applyFill="1">
      <alignment/>
      <protection/>
    </xf>
    <xf numFmtId="0" fontId="35" fillId="0" borderId="0" xfId="50" applyFont="1" applyAlignment="1">
      <alignment vertical="center"/>
      <protection/>
    </xf>
    <xf numFmtId="4" fontId="35" fillId="0" borderId="0" xfId="50" applyNumberFormat="1" applyFont="1" applyAlignment="1">
      <alignment vertical="center"/>
      <protection/>
    </xf>
    <xf numFmtId="0" fontId="40" fillId="0" borderId="0" xfId="50" applyFont="1">
      <alignment/>
      <protection/>
    </xf>
    <xf numFmtId="0" fontId="23" fillId="0" borderId="0" xfId="50" applyFont="1" applyFill="1">
      <alignment/>
      <protection/>
    </xf>
    <xf numFmtId="0" fontId="18" fillId="0" borderId="47" xfId="50" applyFont="1" applyBorder="1" applyAlignment="1">
      <alignment horizontal="left" vertical="center"/>
      <protection/>
    </xf>
    <xf numFmtId="0" fontId="18" fillId="0" borderId="109" xfId="50" applyFont="1" applyBorder="1" applyAlignment="1">
      <alignment horizontal="left" vertical="center" indent="1"/>
      <protection/>
    </xf>
    <xf numFmtId="4" fontId="1" fillId="0" borderId="110" xfId="50" applyNumberFormat="1" applyFont="1" applyFill="1" applyBorder="1" applyAlignment="1">
      <alignment horizontal="right" vertical="center"/>
      <protection/>
    </xf>
    <xf numFmtId="4" fontId="18" fillId="0" borderId="112" xfId="50" applyNumberFormat="1" applyFont="1" applyFill="1" applyBorder="1" applyAlignment="1">
      <alignment horizontal="right" vertical="center"/>
      <protection/>
    </xf>
    <xf numFmtId="4" fontId="1" fillId="0" borderId="48" xfId="50" applyNumberFormat="1" applyFont="1" applyFill="1" applyBorder="1" applyAlignment="1">
      <alignment horizontal="right" vertical="center"/>
      <protection/>
    </xf>
    <xf numFmtId="4" fontId="1" fillId="0" borderId="84" xfId="50" applyNumberFormat="1" applyFont="1" applyFill="1" applyBorder="1" applyAlignment="1">
      <alignment horizontal="right" vertical="center"/>
      <protection/>
    </xf>
    <xf numFmtId="0" fontId="18" fillId="0" borderId="50" xfId="50" applyFont="1" applyBorder="1" applyAlignment="1">
      <alignment horizontal="left" vertical="center"/>
      <protection/>
    </xf>
    <xf numFmtId="0" fontId="18" fillId="0" borderId="87" xfId="50" applyFont="1" applyBorder="1" applyAlignment="1">
      <alignment horizontal="left" vertical="center" indent="1"/>
      <protection/>
    </xf>
    <xf numFmtId="4" fontId="1" fillId="0" borderId="113" xfId="50" applyNumberFormat="1" applyFont="1" applyFill="1" applyBorder="1" applyAlignment="1">
      <alignment horizontal="right" vertical="center"/>
      <protection/>
    </xf>
    <xf numFmtId="4" fontId="18" fillId="0" borderId="114" xfId="50" applyNumberFormat="1" applyFont="1" applyFill="1" applyBorder="1" applyAlignment="1">
      <alignment horizontal="right" vertical="center"/>
      <protection/>
    </xf>
    <xf numFmtId="4" fontId="1" fillId="0" borderId="88" xfId="50" applyNumberFormat="1" applyFont="1" applyFill="1" applyBorder="1" applyAlignment="1">
      <alignment horizontal="right" vertical="center"/>
      <protection/>
    </xf>
    <xf numFmtId="4" fontId="1" fillId="0" borderId="20" xfId="50" applyNumberFormat="1" applyFont="1" applyFill="1" applyBorder="1" applyAlignment="1">
      <alignment horizontal="right" vertical="center"/>
      <protection/>
    </xf>
    <xf numFmtId="0" fontId="18" fillId="0" borderId="59" xfId="50" applyFont="1" applyBorder="1" applyAlignment="1">
      <alignment horizontal="left" vertical="center" indent="1"/>
      <protection/>
    </xf>
    <xf numFmtId="4" fontId="18" fillId="0" borderId="111" xfId="50" applyNumberFormat="1" applyFont="1" applyFill="1" applyBorder="1" applyAlignment="1">
      <alignment horizontal="right" vertical="center"/>
      <protection/>
    </xf>
    <xf numFmtId="4" fontId="41" fillId="0" borderId="91" xfId="50" applyNumberFormat="1" applyFont="1" applyFill="1" applyBorder="1" applyAlignment="1">
      <alignment horizontal="right" vertical="center"/>
      <protection/>
    </xf>
    <xf numFmtId="4" fontId="18" fillId="0" borderId="67" xfId="50" applyNumberFormat="1" applyFont="1" applyFill="1" applyBorder="1" applyAlignment="1">
      <alignment horizontal="right" vertical="center"/>
      <protection/>
    </xf>
    <xf numFmtId="0" fontId="18" fillId="0" borderId="51" xfId="50" applyFont="1" applyBorder="1" applyAlignment="1">
      <alignment horizontal="left" vertical="center"/>
      <protection/>
    </xf>
    <xf numFmtId="0" fontId="18" fillId="0" borderId="115" xfId="50" applyFont="1" applyBorder="1" applyAlignment="1">
      <alignment horizontal="left" vertical="center" indent="1"/>
      <protection/>
    </xf>
    <xf numFmtId="4" fontId="1" fillId="0" borderId="116" xfId="50" applyNumberFormat="1" applyFont="1" applyFill="1" applyBorder="1" applyAlignment="1">
      <alignment horizontal="right" vertical="center"/>
      <protection/>
    </xf>
    <xf numFmtId="4" fontId="18" fillId="0" borderId="117" xfId="50" applyNumberFormat="1" applyFont="1" applyFill="1" applyBorder="1" applyAlignment="1">
      <alignment horizontal="right" vertical="center"/>
      <protection/>
    </xf>
    <xf numFmtId="4" fontId="1" fillId="0" borderId="52" xfId="50" applyNumberFormat="1" applyFont="1" applyFill="1" applyBorder="1" applyAlignment="1">
      <alignment horizontal="right" vertical="center"/>
      <protection/>
    </xf>
    <xf numFmtId="4" fontId="1" fillId="0" borderId="54" xfId="50" applyNumberFormat="1" applyFont="1" applyFill="1" applyBorder="1" applyAlignment="1">
      <alignment horizontal="right" vertical="center"/>
      <protection/>
    </xf>
    <xf numFmtId="0" fontId="24" fillId="0" borderId="118" xfId="50" applyFont="1" applyFill="1" applyBorder="1" applyAlignment="1">
      <alignment horizontal="left" vertical="center"/>
      <protection/>
    </xf>
    <xf numFmtId="0" fontId="18" fillId="0" borderId="119" xfId="50" applyFont="1" applyBorder="1" applyAlignment="1">
      <alignment horizontal="left" vertical="center" indent="1"/>
      <protection/>
    </xf>
    <xf numFmtId="4" fontId="18" fillId="0" borderId="120" xfId="50" applyNumberFormat="1" applyFont="1" applyFill="1" applyBorder="1" applyAlignment="1">
      <alignment horizontal="right" vertical="center"/>
      <protection/>
    </xf>
    <xf numFmtId="4" fontId="18" fillId="0" borderId="121" xfId="50" applyNumberFormat="1" applyFont="1" applyFill="1" applyBorder="1" applyAlignment="1">
      <alignment horizontal="right" vertical="center"/>
      <protection/>
    </xf>
    <xf numFmtId="4" fontId="18" fillId="0" borderId="64" xfId="50" applyNumberFormat="1" applyFont="1" applyFill="1" applyBorder="1" applyAlignment="1">
      <alignment horizontal="right" vertical="center"/>
      <protection/>
    </xf>
    <xf numFmtId="4" fontId="18" fillId="0" borderId="65" xfId="50" applyNumberFormat="1" applyFont="1" applyFill="1" applyBorder="1" applyAlignment="1">
      <alignment horizontal="right" vertical="center"/>
      <protection/>
    </xf>
    <xf numFmtId="4" fontId="18" fillId="0" borderId="122" xfId="50" applyNumberFormat="1" applyFont="1" applyFill="1" applyBorder="1" applyAlignment="1">
      <alignment horizontal="right" vertical="center"/>
      <protection/>
    </xf>
    <xf numFmtId="4" fontId="18" fillId="0" borderId="48" xfId="50" applyNumberFormat="1" applyFont="1" applyFill="1" applyBorder="1" applyAlignment="1">
      <alignment horizontal="right" vertical="center"/>
      <protection/>
    </xf>
    <xf numFmtId="4" fontId="18" fillId="0" borderId="84" xfId="50" applyNumberFormat="1" applyFont="1" applyFill="1" applyBorder="1" applyAlignment="1">
      <alignment horizontal="right" vertical="center"/>
      <protection/>
    </xf>
    <xf numFmtId="0" fontId="18" fillId="0" borderId="118" xfId="50" applyFont="1" applyFill="1" applyBorder="1" applyAlignment="1">
      <alignment horizontal="left" vertical="center"/>
      <protection/>
    </xf>
    <xf numFmtId="4" fontId="13" fillId="0" borderId="12" xfId="50" applyNumberFormat="1" applyFont="1" applyFill="1" applyBorder="1" applyAlignment="1">
      <alignment horizontal="right" vertical="center"/>
      <protection/>
    </xf>
    <xf numFmtId="4" fontId="18" fillId="0" borderId="0" xfId="50" applyNumberFormat="1" applyFont="1" applyFill="1" applyBorder="1" applyAlignment="1">
      <alignment horizontal="right" vertical="center"/>
      <protection/>
    </xf>
    <xf numFmtId="4" fontId="13" fillId="0" borderId="48" xfId="50" applyNumberFormat="1" applyFont="1" applyFill="1" applyBorder="1" applyAlignment="1">
      <alignment horizontal="right" vertical="center"/>
      <protection/>
    </xf>
    <xf numFmtId="4" fontId="13" fillId="0" borderId="84" xfId="50" applyNumberFormat="1" applyFont="1" applyFill="1" applyBorder="1" applyAlignment="1">
      <alignment horizontal="right" vertical="center"/>
      <protection/>
    </xf>
    <xf numFmtId="0" fontId="18" fillId="0" borderId="58" xfId="50" applyFont="1" applyFill="1" applyBorder="1" applyAlignment="1">
      <alignment horizontal="left" vertical="center"/>
      <protection/>
    </xf>
    <xf numFmtId="4" fontId="13" fillId="0" borderId="17" xfId="50" applyNumberFormat="1" applyFont="1" applyFill="1" applyBorder="1" applyAlignment="1">
      <alignment horizontal="right" vertical="center"/>
      <protection/>
    </xf>
    <xf numFmtId="4" fontId="18" fillId="0" borderId="11" xfId="50" applyNumberFormat="1" applyFont="1" applyFill="1" applyBorder="1" applyAlignment="1">
      <alignment horizontal="right" vertical="center"/>
      <protection/>
    </xf>
    <xf numFmtId="4" fontId="13" fillId="0" borderId="88" xfId="50" applyNumberFormat="1" applyFont="1" applyFill="1" applyBorder="1" applyAlignment="1">
      <alignment horizontal="right" vertical="center"/>
      <protection/>
    </xf>
    <xf numFmtId="4" fontId="13" fillId="0" borderId="20" xfId="50" applyNumberFormat="1" applyFont="1" applyFill="1" applyBorder="1" applyAlignment="1">
      <alignment horizontal="right" vertical="center"/>
      <protection/>
    </xf>
    <xf numFmtId="0" fontId="18" fillId="0" borderId="47" xfId="50" applyFont="1" applyFill="1" applyBorder="1" applyAlignment="1">
      <alignment horizontal="left" vertical="center"/>
      <protection/>
    </xf>
    <xf numFmtId="4" fontId="13" fillId="0" borderId="44" xfId="50" applyNumberFormat="1" applyFont="1" applyFill="1" applyBorder="1" applyAlignment="1">
      <alignment horizontal="right" vertical="center"/>
      <protection/>
    </xf>
    <xf numFmtId="0" fontId="18" fillId="0" borderId="109" xfId="50" applyFont="1" applyFill="1" applyBorder="1" applyAlignment="1">
      <alignment horizontal="left" vertical="center" indent="1"/>
      <protection/>
    </xf>
    <xf numFmtId="4" fontId="18" fillId="0" borderId="110" xfId="50" applyNumberFormat="1" applyFont="1" applyFill="1" applyBorder="1" applyAlignment="1">
      <alignment horizontal="right" vertical="center"/>
      <protection/>
    </xf>
    <xf numFmtId="4" fontId="18" fillId="0" borderId="111" xfId="50" applyNumberFormat="1" applyFont="1" applyFill="1" applyBorder="1" applyAlignment="1">
      <alignment horizontal="right"/>
      <protection/>
    </xf>
    <xf numFmtId="0" fontId="18" fillId="0" borderId="95" xfId="50" applyFont="1" applyFill="1" applyBorder="1" applyAlignment="1">
      <alignment horizontal="right"/>
      <protection/>
    </xf>
    <xf numFmtId="4" fontId="18" fillId="0" borderId="49" xfId="50" applyNumberFormat="1" applyFont="1" applyFill="1" applyBorder="1" applyAlignment="1">
      <alignment horizontal="right"/>
      <protection/>
    </xf>
    <xf numFmtId="0" fontId="1" fillId="0" borderId="79" xfId="50" applyFont="1" applyBorder="1" applyAlignment="1">
      <alignment horizontal="left" vertical="center"/>
      <protection/>
    </xf>
    <xf numFmtId="0" fontId="1" fillId="0" borderId="55" xfId="50" applyFont="1" applyBorder="1" applyAlignment="1">
      <alignment horizontal="left" vertical="center" indent="1"/>
      <protection/>
    </xf>
    <xf numFmtId="4" fontId="1" fillId="0" borderId="123" xfId="50" applyNumberFormat="1" applyFont="1" applyFill="1" applyBorder="1" applyAlignment="1">
      <alignment horizontal="right" vertical="center"/>
      <protection/>
    </xf>
    <xf numFmtId="4" fontId="1" fillId="0" borderId="124" xfId="50" applyNumberFormat="1" applyFont="1" applyFill="1" applyBorder="1" applyAlignment="1">
      <alignment horizontal="right" vertical="center"/>
      <protection/>
    </xf>
    <xf numFmtId="4" fontId="1" fillId="0" borderId="125" xfId="50" applyNumberFormat="1" applyFont="1" applyFill="1" applyBorder="1" applyAlignment="1">
      <alignment horizontal="right" vertical="center"/>
      <protection/>
    </xf>
    <xf numFmtId="4" fontId="1" fillId="0" borderId="98" xfId="50" applyNumberFormat="1" applyFont="1" applyFill="1" applyBorder="1" applyAlignment="1">
      <alignment horizontal="right" vertical="center"/>
      <protection/>
    </xf>
    <xf numFmtId="0" fontId="1" fillId="0" borderId="50" xfId="50" applyFont="1" applyBorder="1" applyAlignment="1">
      <alignment horizontal="left" vertical="center"/>
      <protection/>
    </xf>
    <xf numFmtId="0" fontId="1" fillId="0" borderId="87" xfId="50" applyFont="1" applyBorder="1" applyAlignment="1">
      <alignment horizontal="left" vertical="center" indent="1"/>
      <protection/>
    </xf>
    <xf numFmtId="4" fontId="1" fillId="0" borderId="120" xfId="50" applyNumberFormat="1" applyFont="1" applyFill="1" applyBorder="1" applyAlignment="1">
      <alignment horizontal="right" vertical="center"/>
      <protection/>
    </xf>
    <xf numFmtId="4" fontId="1" fillId="0" borderId="114" xfId="50" applyNumberFormat="1" applyFont="1" applyFill="1" applyBorder="1" applyAlignment="1">
      <alignment horizontal="right" vertical="center"/>
      <protection/>
    </xf>
    <xf numFmtId="4" fontId="43" fillId="0" borderId="88" xfId="50" applyNumberFormat="1" applyFont="1" applyFill="1" applyBorder="1" applyAlignment="1">
      <alignment horizontal="right" vertical="center"/>
      <protection/>
    </xf>
    <xf numFmtId="4" fontId="18" fillId="0" borderId="20" xfId="50" applyNumberFormat="1" applyFont="1" applyFill="1" applyBorder="1" applyAlignment="1">
      <alignment horizontal="right" vertical="center"/>
      <protection/>
    </xf>
    <xf numFmtId="0" fontId="1" fillId="0" borderId="58" xfId="50" applyFont="1" applyBorder="1" applyAlignment="1">
      <alignment horizontal="left" vertical="center"/>
      <protection/>
    </xf>
    <xf numFmtId="0" fontId="1" fillId="0" borderId="101" xfId="50" applyFont="1" applyBorder="1" applyAlignment="1">
      <alignment horizontal="left" vertical="center" indent="1"/>
      <protection/>
    </xf>
    <xf numFmtId="4" fontId="1" fillId="0" borderId="122" xfId="50" applyNumberFormat="1" applyFont="1" applyFill="1" applyBorder="1" applyAlignment="1">
      <alignment horizontal="right" vertical="center"/>
      <protection/>
    </xf>
    <xf numFmtId="4" fontId="1" fillId="0" borderId="59" xfId="50" applyNumberFormat="1" applyFont="1" applyFill="1" applyBorder="1" applyAlignment="1">
      <alignment horizontal="right" vertical="center"/>
      <protection/>
    </xf>
    <xf numFmtId="0" fontId="1" fillId="0" borderId="59" xfId="50" applyFont="1" applyBorder="1" applyAlignment="1">
      <alignment horizontal="left" vertical="center" indent="1"/>
      <protection/>
    </xf>
    <xf numFmtId="4" fontId="1" fillId="0" borderId="126" xfId="50" applyNumberFormat="1" applyFont="1" applyFill="1" applyBorder="1" applyAlignment="1">
      <alignment horizontal="right" vertical="center"/>
      <protection/>
    </xf>
    <xf numFmtId="4" fontId="1" fillId="0" borderId="91" xfId="50" applyNumberFormat="1" applyFont="1" applyFill="1" applyBorder="1" applyAlignment="1">
      <alignment horizontal="right" vertical="center"/>
      <protection/>
    </xf>
    <xf numFmtId="4" fontId="1" fillId="0" borderId="67" xfId="50" applyNumberFormat="1" applyFont="1" applyFill="1" applyBorder="1" applyAlignment="1">
      <alignment horizontal="right" vertical="center"/>
      <protection/>
    </xf>
    <xf numFmtId="4" fontId="18" fillId="0" borderId="88" xfId="50" applyNumberFormat="1" applyFont="1" applyFill="1" applyBorder="1" applyAlignment="1">
      <alignment horizontal="right" vertical="center"/>
      <protection/>
    </xf>
    <xf numFmtId="4" fontId="1" fillId="0" borderId="127" xfId="50" applyNumberFormat="1" applyFont="1" applyFill="1" applyBorder="1" applyAlignment="1">
      <alignment horizontal="right" vertical="center"/>
      <protection/>
    </xf>
    <xf numFmtId="4" fontId="1" fillId="0" borderId="89" xfId="50" applyNumberFormat="1" applyFont="1" applyFill="1" applyBorder="1" applyAlignment="1">
      <alignment horizontal="right" vertical="center"/>
      <protection/>
    </xf>
    <xf numFmtId="4" fontId="1" fillId="0" borderId="60" xfId="50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left" vertical="center" indent="1"/>
    </xf>
    <xf numFmtId="4" fontId="45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6"/>
    </xf>
    <xf numFmtId="0" fontId="18" fillId="0" borderId="0" xfId="0" applyFont="1" applyBorder="1" applyAlignment="1">
      <alignment horizontal="left" indent="1"/>
    </xf>
    <xf numFmtId="4" fontId="46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 horizontal="left" vertical="center" indent="1"/>
    </xf>
    <xf numFmtId="4" fontId="33" fillId="0" borderId="0" xfId="0" applyNumberFormat="1" applyFont="1" applyBorder="1" applyAlignment="1">
      <alignment horizontal="left" vertical="center" indent="6"/>
    </xf>
    <xf numFmtId="4" fontId="13" fillId="25" borderId="117" xfId="50" applyNumberFormat="1" applyFont="1" applyFill="1" applyBorder="1" applyAlignment="1">
      <alignment horizontal="center"/>
      <protection/>
    </xf>
    <xf numFmtId="0" fontId="13" fillId="25" borderId="52" xfId="50" applyFont="1" applyFill="1" applyBorder="1" applyAlignment="1">
      <alignment horizontal="center"/>
      <protection/>
    </xf>
    <xf numFmtId="4" fontId="13" fillId="25" borderId="61" xfId="50" applyNumberFormat="1" applyFont="1" applyFill="1" applyBorder="1" applyAlignment="1">
      <alignment horizontal="center"/>
      <protection/>
    </xf>
    <xf numFmtId="0" fontId="23" fillId="25" borderId="128" xfId="50" applyFont="1" applyFill="1" applyBorder="1" applyAlignment="1">
      <alignment horizontal="center" vertical="center"/>
      <protection/>
    </xf>
    <xf numFmtId="0" fontId="15" fillId="25" borderId="129" xfId="50" applyFont="1" applyFill="1" applyBorder="1" applyAlignment="1">
      <alignment horizontal="left" vertical="center"/>
      <protection/>
    </xf>
    <xf numFmtId="4" fontId="13" fillId="25" borderId="130" xfId="50" applyNumberFormat="1" applyFont="1" applyFill="1" applyBorder="1" applyAlignment="1">
      <alignment horizontal="right" vertical="center"/>
      <protection/>
    </xf>
    <xf numFmtId="4" fontId="13" fillId="25" borderId="131" xfId="50" applyNumberFormat="1" applyFont="1" applyFill="1" applyBorder="1" applyAlignment="1">
      <alignment horizontal="right" vertical="center"/>
      <protection/>
    </xf>
    <xf numFmtId="4" fontId="13" fillId="25" borderId="117" xfId="50" applyNumberFormat="1" applyFont="1" applyFill="1" applyBorder="1" applyAlignment="1">
      <alignment horizontal="center"/>
      <protection/>
    </xf>
    <xf numFmtId="0" fontId="13" fillId="25" borderId="52" xfId="50" applyFont="1" applyFill="1" applyBorder="1" applyAlignment="1">
      <alignment horizontal="center"/>
      <protection/>
    </xf>
    <xf numFmtId="4" fontId="13" fillId="25" borderId="54" xfId="50" applyNumberFormat="1" applyFont="1" applyFill="1" applyBorder="1" applyAlignment="1">
      <alignment horizontal="center"/>
      <protection/>
    </xf>
    <xf numFmtId="0" fontId="42" fillId="10" borderId="79" xfId="50" applyFont="1" applyFill="1" applyBorder="1" applyAlignment="1">
      <alignment horizontal="left" vertical="center"/>
      <protection/>
    </xf>
    <xf numFmtId="0" fontId="42" fillId="10" borderId="55" xfId="50" applyFont="1" applyFill="1" applyBorder="1" applyAlignment="1">
      <alignment horizontal="left" vertical="center" indent="1"/>
      <protection/>
    </xf>
    <xf numFmtId="4" fontId="42" fillId="10" borderId="123" xfId="50" applyNumberFormat="1" applyFont="1" applyFill="1" applyBorder="1" applyAlignment="1">
      <alignment horizontal="right" vertical="center"/>
      <protection/>
    </xf>
    <xf numFmtId="4" fontId="42" fillId="10" borderId="132" xfId="50" applyNumberFormat="1" applyFont="1" applyFill="1" applyBorder="1" applyAlignment="1">
      <alignment horizontal="right"/>
      <protection/>
    </xf>
    <xf numFmtId="4" fontId="42" fillId="10" borderId="106" xfId="50" applyNumberFormat="1" applyFont="1" applyFill="1" applyBorder="1" applyAlignment="1">
      <alignment horizontal="right"/>
      <protection/>
    </xf>
    <xf numFmtId="4" fontId="42" fillId="10" borderId="80" xfId="50" applyNumberFormat="1" applyFont="1" applyFill="1" applyBorder="1" applyAlignment="1">
      <alignment horizontal="right"/>
      <protection/>
    </xf>
    <xf numFmtId="0" fontId="42" fillId="10" borderId="79" xfId="50" applyFont="1" applyFill="1" applyBorder="1" applyAlignment="1">
      <alignment horizontal="left" vertical="center"/>
      <protection/>
    </xf>
    <xf numFmtId="0" fontId="42" fillId="10" borderId="55" xfId="50" applyFont="1" applyFill="1" applyBorder="1" applyAlignment="1">
      <alignment horizontal="left" vertical="center" indent="1"/>
      <protection/>
    </xf>
    <xf numFmtId="4" fontId="42" fillId="10" borderId="123" xfId="50" applyNumberFormat="1" applyFont="1" applyFill="1" applyBorder="1" applyAlignment="1">
      <alignment horizontal="right" vertical="center"/>
      <protection/>
    </xf>
    <xf numFmtId="4" fontId="42" fillId="10" borderId="133" xfId="50" applyNumberFormat="1" applyFont="1" applyFill="1" applyBorder="1" applyAlignment="1">
      <alignment horizontal="right" vertical="center"/>
      <protection/>
    </xf>
    <xf numFmtId="4" fontId="42" fillId="10" borderId="56" xfId="50" applyNumberFormat="1" applyFont="1" applyFill="1" applyBorder="1" applyAlignment="1">
      <alignment horizontal="right" vertical="center"/>
      <protection/>
    </xf>
    <xf numFmtId="4" fontId="42" fillId="10" borderId="80" xfId="50" applyNumberFormat="1" applyFont="1" applyFill="1" applyBorder="1" applyAlignment="1">
      <alignment horizontal="right" vertical="center"/>
      <protection/>
    </xf>
    <xf numFmtId="4" fontId="42" fillId="10" borderId="134" xfId="50" applyNumberFormat="1" applyFont="1" applyFill="1" applyBorder="1" applyAlignment="1">
      <alignment horizontal="right" vertical="center"/>
      <protection/>
    </xf>
    <xf numFmtId="4" fontId="42" fillId="10" borderId="133" xfId="50" applyNumberFormat="1" applyFont="1" applyFill="1" applyBorder="1" applyAlignment="1">
      <alignment horizontal="right"/>
      <protection/>
    </xf>
    <xf numFmtId="4" fontId="42" fillId="10" borderId="134" xfId="50" applyNumberFormat="1" applyFont="1" applyFill="1" applyBorder="1" applyAlignment="1">
      <alignment horizontal="right"/>
      <protection/>
    </xf>
    <xf numFmtId="4" fontId="42" fillId="10" borderId="132" xfId="50" applyNumberFormat="1" applyFont="1" applyFill="1" applyBorder="1" applyAlignment="1">
      <alignment horizontal="right" vertical="center"/>
      <protection/>
    </xf>
    <xf numFmtId="4" fontId="42" fillId="10" borderId="56" xfId="50" applyNumberFormat="1" applyFont="1" applyFill="1" applyBorder="1" applyAlignment="1">
      <alignment horizontal="right" vertical="center"/>
      <protection/>
    </xf>
    <xf numFmtId="4" fontId="42" fillId="10" borderId="80" xfId="50" applyNumberFormat="1" applyFont="1" applyFill="1" applyBorder="1" applyAlignment="1">
      <alignment horizontal="right" vertical="center"/>
      <protection/>
    </xf>
    <xf numFmtId="4" fontId="42" fillId="10" borderId="133" xfId="50" applyNumberFormat="1" applyFont="1" applyFill="1" applyBorder="1" applyAlignment="1">
      <alignment horizontal="right" vertical="center"/>
      <protection/>
    </xf>
    <xf numFmtId="0" fontId="13" fillId="25" borderId="128" xfId="50" applyFont="1" applyFill="1" applyBorder="1" applyAlignment="1">
      <alignment horizontal="center" vertical="center"/>
      <protection/>
    </xf>
    <xf numFmtId="0" fontId="13" fillId="25" borderId="129" xfId="50" applyFont="1" applyFill="1" applyBorder="1" applyAlignment="1">
      <alignment horizontal="left" vertical="center"/>
      <protection/>
    </xf>
    <xf numFmtId="4" fontId="13" fillId="25" borderId="135" xfId="50" applyNumberFormat="1" applyFont="1" applyFill="1" applyBorder="1" applyAlignment="1">
      <alignment horizontal="right" vertical="center"/>
      <protection/>
    </xf>
    <xf numFmtId="4" fontId="13" fillId="25" borderId="136" xfId="50" applyNumberFormat="1" applyFont="1" applyFill="1" applyBorder="1" applyAlignment="1">
      <alignment horizontal="right" vertical="center"/>
      <protection/>
    </xf>
    <xf numFmtId="4" fontId="13" fillId="25" borderId="137" xfId="50" applyNumberFormat="1" applyFont="1" applyFill="1" applyBorder="1" applyAlignment="1">
      <alignment horizontal="right" vertical="center"/>
      <protection/>
    </xf>
    <xf numFmtId="0" fontId="13" fillId="10" borderId="103" xfId="50" applyFont="1" applyFill="1" applyBorder="1" applyAlignment="1">
      <alignment horizontal="center" vertical="center"/>
      <protection/>
    </xf>
    <xf numFmtId="0" fontId="13" fillId="10" borderId="57" xfId="50" applyFont="1" applyFill="1" applyBorder="1" applyAlignment="1">
      <alignment horizontal="left"/>
      <protection/>
    </xf>
    <xf numFmtId="4" fontId="13" fillId="10" borderId="78" xfId="50" applyNumberFormat="1" applyFont="1" applyFill="1" applyBorder="1" applyAlignment="1">
      <alignment horizontal="right" vertical="center"/>
      <protection/>
    </xf>
    <xf numFmtId="4" fontId="13" fillId="10" borderId="40" xfId="50" applyNumberFormat="1" applyFont="1" applyFill="1" applyBorder="1" applyAlignment="1">
      <alignment horizontal="right" vertical="center"/>
      <protection/>
    </xf>
    <xf numFmtId="4" fontId="13" fillId="10" borderId="56" xfId="50" applyNumberFormat="1" applyFont="1" applyFill="1" applyBorder="1" applyAlignment="1">
      <alignment horizontal="right" vertical="center"/>
      <protection/>
    </xf>
    <xf numFmtId="4" fontId="13" fillId="10" borderId="57" xfId="50" applyNumberFormat="1" applyFont="1" applyFill="1" applyBorder="1" applyAlignment="1">
      <alignment horizontal="right" vertical="center"/>
      <protection/>
    </xf>
    <xf numFmtId="0" fontId="15" fillId="26" borderId="0" xfId="0" applyFont="1" applyFill="1" applyBorder="1" applyAlignment="1">
      <alignment horizontal="left" indent="1"/>
    </xf>
    <xf numFmtId="4" fontId="47" fillId="26" borderId="0" xfId="0" applyNumberFormat="1" applyFont="1" applyFill="1" applyBorder="1" applyAlignment="1">
      <alignment/>
    </xf>
    <xf numFmtId="4" fontId="48" fillId="26" borderId="88" xfId="0" applyNumberFormat="1" applyFont="1" applyFill="1" applyBorder="1" applyAlignment="1">
      <alignment vertical="center"/>
    </xf>
    <xf numFmtId="0" fontId="15" fillId="10" borderId="0" xfId="0" applyFont="1" applyFill="1" applyBorder="1" applyAlignment="1">
      <alignment horizontal="left" indent="1"/>
    </xf>
    <xf numFmtId="4" fontId="47" fillId="10" borderId="0" xfId="0" applyNumberFormat="1" applyFont="1" applyFill="1" applyBorder="1" applyAlignment="1">
      <alignment/>
    </xf>
    <xf numFmtId="4" fontId="48" fillId="10" borderId="88" xfId="0" applyNumberFormat="1" applyFont="1" applyFill="1" applyBorder="1" applyAlignment="1">
      <alignment/>
    </xf>
    <xf numFmtId="0" fontId="13" fillId="10" borderId="0" xfId="0" applyFont="1" applyFill="1" applyBorder="1" applyAlignment="1">
      <alignment horizontal="left" indent="1"/>
    </xf>
    <xf numFmtId="4" fontId="23" fillId="10" borderId="0" xfId="0" applyNumberFormat="1" applyFont="1" applyFill="1" applyBorder="1" applyAlignment="1">
      <alignment/>
    </xf>
    <xf numFmtId="4" fontId="48" fillId="10" borderId="88" xfId="0" applyNumberFormat="1" applyFont="1" applyFill="1" applyBorder="1" applyAlignment="1">
      <alignment vertical="center"/>
    </xf>
    <xf numFmtId="4" fontId="13" fillId="10" borderId="0" xfId="0" applyNumberFormat="1" applyFont="1" applyFill="1" applyBorder="1" applyAlignment="1">
      <alignment/>
    </xf>
    <xf numFmtId="0" fontId="15" fillId="25" borderId="39" xfId="0" applyFont="1" applyFill="1" applyBorder="1" applyAlignment="1">
      <alignment horizontal="left" vertical="center"/>
    </xf>
    <xf numFmtId="4" fontId="23" fillId="25" borderId="40" xfId="0" applyNumberFormat="1" applyFont="1" applyFill="1" applyBorder="1" applyAlignment="1">
      <alignment horizontal="center" vertical="center"/>
    </xf>
    <xf numFmtId="4" fontId="15" fillId="25" borderId="80" xfId="0" applyNumberFormat="1" applyFont="1" applyFill="1" applyBorder="1" applyAlignment="1">
      <alignment horizontal="right" vertical="center"/>
    </xf>
    <xf numFmtId="0" fontId="15" fillId="25" borderId="39" xfId="0" applyFont="1" applyFill="1" applyBorder="1" applyAlignment="1">
      <alignment horizontal="left" vertical="center" indent="1"/>
    </xf>
    <xf numFmtId="4" fontId="23" fillId="25" borderId="40" xfId="0" applyNumberFormat="1" applyFont="1" applyFill="1" applyBorder="1" applyAlignment="1">
      <alignment/>
    </xf>
    <xf numFmtId="4" fontId="15" fillId="25" borderId="80" xfId="0" applyNumberFormat="1" applyFont="1" applyFill="1" applyBorder="1" applyAlignment="1">
      <alignment/>
    </xf>
    <xf numFmtId="0" fontId="44" fillId="10" borderId="0" xfId="0" applyFont="1" applyFill="1" applyBorder="1" applyAlignment="1">
      <alignment horizontal="left"/>
    </xf>
    <xf numFmtId="4" fontId="0" fillId="10" borderId="0" xfId="0" applyNumberFormat="1" applyFont="1" applyFill="1" applyBorder="1" applyAlignment="1">
      <alignment/>
    </xf>
    <xf numFmtId="4" fontId="44" fillId="10" borderId="0" xfId="0" applyNumberFormat="1" applyFont="1" applyFill="1" applyBorder="1" applyAlignment="1">
      <alignment horizontal="right"/>
    </xf>
    <xf numFmtId="49" fontId="13" fillId="0" borderId="0" xfId="49" applyNumberFormat="1" applyFont="1" applyBorder="1" applyAlignment="1">
      <alignment/>
      <protection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13" fillId="25" borderId="118" xfId="49" applyNumberFormat="1" applyFont="1" applyFill="1" applyBorder="1" applyAlignment="1">
      <alignment horizontal="center"/>
      <protection/>
    </xf>
    <xf numFmtId="0" fontId="13" fillId="25" borderId="64" xfId="49" applyFont="1" applyFill="1" applyBorder="1" applyAlignment="1">
      <alignment horizontal="center"/>
      <protection/>
    </xf>
    <xf numFmtId="49" fontId="13" fillId="25" borderId="64" xfId="49" applyNumberFormat="1" applyFont="1" applyFill="1" applyBorder="1" applyAlignment="1">
      <alignment horizontal="center"/>
      <protection/>
    </xf>
    <xf numFmtId="3" fontId="13" fillId="25" borderId="64" xfId="49" applyNumberFormat="1" applyFont="1" applyFill="1" applyBorder="1" applyAlignment="1">
      <alignment horizontal="center"/>
      <protection/>
    </xf>
    <xf numFmtId="3" fontId="13" fillId="25" borderId="63" xfId="35" applyNumberFormat="1" applyFont="1" applyFill="1" applyBorder="1" applyAlignment="1">
      <alignment horizontal="center"/>
    </xf>
    <xf numFmtId="3" fontId="13" fillId="25" borderId="64" xfId="35" applyNumberFormat="1" applyFont="1" applyFill="1" applyBorder="1" applyAlignment="1">
      <alignment horizontal="center"/>
    </xf>
    <xf numFmtId="3" fontId="13" fillId="25" borderId="119" xfId="35" applyNumberFormat="1" applyFont="1" applyFill="1" applyBorder="1" applyAlignment="1">
      <alignment horizontal="center"/>
    </xf>
    <xf numFmtId="49" fontId="13" fillId="25" borderId="50" xfId="49" applyNumberFormat="1" applyFont="1" applyFill="1" applyBorder="1" applyAlignment="1">
      <alignment horizontal="center"/>
      <protection/>
    </xf>
    <xf numFmtId="3" fontId="13" fillId="25" borderId="59" xfId="35" applyNumberFormat="1" applyFont="1" applyFill="1" applyBorder="1" applyAlignment="1">
      <alignment horizontal="center"/>
    </xf>
    <xf numFmtId="49" fontId="3" fillId="19" borderId="50" xfId="49" applyNumberFormat="1" applyFont="1" applyFill="1" applyBorder="1" applyAlignment="1">
      <alignment horizontal="center"/>
      <protection/>
    </xf>
    <xf numFmtId="3" fontId="13" fillId="19" borderId="59" xfId="49" applyNumberFormat="1" applyFont="1" applyFill="1" applyBorder="1">
      <alignment/>
      <protection/>
    </xf>
    <xf numFmtId="49" fontId="13" fillId="24" borderId="50" xfId="49" applyNumberFormat="1" applyFont="1" applyFill="1" applyBorder="1" applyAlignment="1">
      <alignment horizontal="center"/>
      <protection/>
    </xf>
    <xf numFmtId="3" fontId="13" fillId="24" borderId="59" xfId="49" applyNumberFormat="1" applyFont="1" applyFill="1" applyBorder="1">
      <alignment/>
      <protection/>
    </xf>
    <xf numFmtId="49" fontId="18" fillId="0" borderId="50" xfId="49" applyNumberFormat="1" applyFont="1" applyBorder="1" applyAlignment="1">
      <alignment horizontal="center"/>
      <protection/>
    </xf>
    <xf numFmtId="3" fontId="18" fillId="0" borderId="59" xfId="49" applyNumberFormat="1" applyFont="1" applyBorder="1">
      <alignment/>
      <protection/>
    </xf>
    <xf numFmtId="49" fontId="13" fillId="0" borderId="50" xfId="49" applyNumberFormat="1" applyFont="1" applyBorder="1" applyAlignment="1">
      <alignment horizontal="center"/>
      <protection/>
    </xf>
    <xf numFmtId="3" fontId="13" fillId="0" borderId="59" xfId="49" applyNumberFormat="1" applyFont="1" applyBorder="1">
      <alignment/>
      <protection/>
    </xf>
    <xf numFmtId="49" fontId="13" fillId="19" borderId="50" xfId="49" applyNumberFormat="1" applyFont="1" applyFill="1" applyBorder="1" applyAlignment="1">
      <alignment horizontal="center"/>
      <protection/>
    </xf>
    <xf numFmtId="49" fontId="13" fillId="0" borderId="50" xfId="49" applyNumberFormat="1" applyFont="1" applyBorder="1" applyAlignment="1">
      <alignment horizontal="center"/>
      <protection/>
    </xf>
    <xf numFmtId="3" fontId="13" fillId="0" borderId="59" xfId="35" applyNumberFormat="1" applyFont="1" applyBorder="1" applyAlignment="1">
      <alignment horizontal="right"/>
    </xf>
    <xf numFmtId="3" fontId="13" fillId="0" borderId="59" xfId="35" applyNumberFormat="1" applyFont="1" applyBorder="1" applyAlignment="1">
      <alignment horizontal="right"/>
    </xf>
    <xf numFmtId="3" fontId="18" fillId="0" borderId="59" xfId="49" applyNumberFormat="1" applyFont="1" applyBorder="1" applyAlignment="1">
      <alignment horizontal="right"/>
      <protection/>
    </xf>
    <xf numFmtId="3" fontId="3" fillId="19" borderId="59" xfId="49" applyNumberFormat="1" applyFont="1" applyFill="1" applyBorder="1">
      <alignment/>
      <protection/>
    </xf>
    <xf numFmtId="49" fontId="18" fillId="0" borderId="51" xfId="49" applyNumberFormat="1" applyFont="1" applyBorder="1" applyAlignment="1">
      <alignment horizontal="center"/>
      <protection/>
    </xf>
    <xf numFmtId="0" fontId="18" fillId="0" borderId="52" xfId="49" applyFont="1" applyBorder="1">
      <alignment/>
      <protection/>
    </xf>
    <xf numFmtId="49" fontId="18" fillId="0" borderId="52" xfId="49" applyNumberFormat="1" applyFont="1" applyBorder="1" applyAlignment="1">
      <alignment horizontal="center"/>
      <protection/>
    </xf>
    <xf numFmtId="3" fontId="18" fillId="0" borderId="52" xfId="49" applyNumberFormat="1" applyFont="1" applyBorder="1">
      <alignment/>
      <protection/>
    </xf>
    <xf numFmtId="3" fontId="18" fillId="0" borderId="107" xfId="49" applyNumberFormat="1" applyFont="1" applyBorder="1">
      <alignment/>
      <protection/>
    </xf>
    <xf numFmtId="3" fontId="18" fillId="0" borderId="61" xfId="49" applyNumberFormat="1" applyFont="1" applyBorder="1">
      <alignment/>
      <protection/>
    </xf>
    <xf numFmtId="49" fontId="13" fillId="19" borderId="50" xfId="49" applyNumberFormat="1" applyFont="1" applyFill="1" applyBorder="1" applyAlignment="1">
      <alignment horizontal="center"/>
      <protection/>
    </xf>
    <xf numFmtId="3" fontId="13" fillId="19" borderId="59" xfId="35" applyNumberFormat="1" applyFont="1" applyFill="1" applyBorder="1" applyAlignment="1">
      <alignment horizontal="right"/>
    </xf>
    <xf numFmtId="0" fontId="1" fillId="0" borderId="94" xfId="0" applyFont="1" applyFill="1" applyBorder="1" applyAlignment="1">
      <alignment/>
    </xf>
    <xf numFmtId="49" fontId="18" fillId="0" borderId="93" xfId="49" applyNumberFormat="1" applyFont="1" applyBorder="1" applyAlignment="1">
      <alignment horizontal="center"/>
      <protection/>
    </xf>
    <xf numFmtId="3" fontId="18" fillId="0" borderId="60" xfId="49" applyNumberFormat="1" applyFont="1" applyBorder="1">
      <alignment/>
      <protection/>
    </xf>
    <xf numFmtId="3" fontId="13" fillId="19" borderId="59" xfId="35" applyNumberFormat="1" applyFont="1" applyFill="1" applyBorder="1" applyAlignment="1">
      <alignment horizontal="right"/>
    </xf>
    <xf numFmtId="179" fontId="15" fillId="0" borderId="0" xfId="35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49" fontId="15" fillId="0" borderId="0" xfId="49" applyNumberFormat="1" applyFont="1" applyBorder="1" applyAlignment="1">
      <alignment/>
      <protection/>
    </xf>
    <xf numFmtId="3" fontId="17" fillId="0" borderId="67" xfId="48" applyNumberFormat="1" applyFont="1" applyFill="1" applyBorder="1">
      <alignment/>
      <protection/>
    </xf>
    <xf numFmtId="3" fontId="20" fillId="0" borderId="67" xfId="48" applyNumberFormat="1" applyFont="1" applyFill="1" applyBorder="1">
      <alignment/>
      <protection/>
    </xf>
    <xf numFmtId="0" fontId="0" fillId="19" borderId="0" xfId="0" applyFill="1" applyAlignment="1">
      <alignment/>
    </xf>
    <xf numFmtId="3" fontId="50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15" fillId="0" borderId="0" xfId="0" applyFont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15" fillId="0" borderId="0" xfId="0" applyFont="1" applyAlignment="1">
      <alignment horizontal="left" indent="1"/>
    </xf>
    <xf numFmtId="3" fontId="13" fillId="25" borderId="38" xfId="0" applyNumberFormat="1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7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10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50" xfId="0" applyNumberFormat="1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30" xfId="0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93" xfId="0" applyNumberFormat="1" applyFont="1" applyBorder="1" applyAlignment="1">
      <alignment/>
    </xf>
    <xf numFmtId="49" fontId="18" fillId="0" borderId="27" xfId="0" applyNumberFormat="1" applyFont="1" applyFill="1" applyBorder="1" applyAlignment="1">
      <alignment horizontal="right"/>
    </xf>
    <xf numFmtId="0" fontId="13" fillId="25" borderId="8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73" xfId="0" applyFont="1" applyFill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11" xfId="0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71" xfId="0" applyFont="1" applyFill="1" applyBorder="1" applyAlignment="1">
      <alignment/>
    </xf>
    <xf numFmtId="0" fontId="18" fillId="0" borderId="27" xfId="0" applyFont="1" applyBorder="1" applyAlignment="1">
      <alignment/>
    </xf>
    <xf numFmtId="3" fontId="18" fillId="0" borderId="46" xfId="0" applyNumberFormat="1" applyFont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3" fontId="18" fillId="0" borderId="19" xfId="0" applyNumberFormat="1" applyFont="1" applyBorder="1" applyAlignment="1">
      <alignment/>
    </xf>
    <xf numFmtId="14" fontId="18" fillId="0" borderId="18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78" xfId="0" applyNumberFormat="1" applyFont="1" applyBorder="1" applyAlignment="1">
      <alignment/>
    </xf>
    <xf numFmtId="14" fontId="18" fillId="0" borderId="13" xfId="0" applyNumberFormat="1" applyFont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83" xfId="0" applyFont="1" applyBorder="1" applyAlignment="1">
      <alignment/>
    </xf>
    <xf numFmtId="3" fontId="18" fillId="0" borderId="82" xfId="0" applyNumberFormat="1" applyFont="1" applyBorder="1" applyAlignment="1">
      <alignment/>
    </xf>
    <xf numFmtId="3" fontId="18" fillId="0" borderId="30" xfId="0" applyNumberFormat="1" applyFont="1" applyFill="1" applyBorder="1" applyAlignment="1">
      <alignment/>
    </xf>
    <xf numFmtId="14" fontId="18" fillId="0" borderId="30" xfId="0" applyNumberFormat="1" applyFont="1" applyFill="1" applyBorder="1" applyAlignment="1">
      <alignment/>
    </xf>
    <xf numFmtId="3" fontId="18" fillId="0" borderId="82" xfId="0" applyNumberFormat="1" applyFont="1" applyFill="1" applyBorder="1" applyAlignment="1">
      <alignment/>
    </xf>
    <xf numFmtId="49" fontId="18" fillId="0" borderId="15" xfId="0" applyNumberFormat="1" applyFont="1" applyBorder="1" applyAlignment="1">
      <alignment horizontal="right"/>
    </xf>
    <xf numFmtId="49" fontId="18" fillId="0" borderId="46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right"/>
    </xf>
    <xf numFmtId="49" fontId="18" fillId="0" borderId="87" xfId="0" applyNumberFormat="1" applyFont="1" applyBorder="1" applyAlignment="1">
      <alignment horizontal="right"/>
    </xf>
    <xf numFmtId="49" fontId="18" fillId="0" borderId="90" xfId="0" applyNumberFormat="1" applyFont="1" applyBorder="1" applyAlignment="1">
      <alignment horizontal="right"/>
    </xf>
    <xf numFmtId="49" fontId="18" fillId="0" borderId="29" xfId="0" applyNumberFormat="1" applyFont="1" applyFill="1" applyBorder="1" applyAlignment="1">
      <alignment horizontal="right"/>
    </xf>
    <xf numFmtId="14" fontId="18" fillId="0" borderId="30" xfId="0" applyNumberFormat="1" applyFont="1" applyBorder="1" applyAlignment="1">
      <alignment/>
    </xf>
    <xf numFmtId="49" fontId="18" fillId="0" borderId="15" xfId="0" applyNumberFormat="1" applyFont="1" applyBorder="1" applyAlignment="1">
      <alignment horizontal="right" vertical="center" wrapText="1"/>
    </xf>
    <xf numFmtId="0" fontId="18" fillId="0" borderId="46" xfId="0" applyFont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17" fillId="0" borderId="30" xfId="0" applyNumberFormat="1" applyFont="1" applyFill="1" applyBorder="1" applyAlignment="1">
      <alignment/>
    </xf>
    <xf numFmtId="4" fontId="17" fillId="0" borderId="38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44" xfId="0" applyNumberFormat="1" applyFont="1" applyFill="1" applyBorder="1" applyAlignment="1">
      <alignment/>
    </xf>
    <xf numFmtId="4" fontId="17" fillId="0" borderId="27" xfId="0" applyNumberFormat="1" applyFont="1" applyFill="1" applyBorder="1" applyAlignment="1">
      <alignment/>
    </xf>
    <xf numFmtId="4" fontId="17" fillId="0" borderId="82" xfId="0" applyNumberFormat="1" applyFont="1" applyFill="1" applyBorder="1" applyAlignment="1">
      <alignment/>
    </xf>
    <xf numFmtId="4" fontId="16" fillId="0" borderId="44" xfId="0" applyNumberFormat="1" applyFont="1" applyFill="1" applyBorder="1" applyAlignment="1">
      <alignment/>
    </xf>
    <xf numFmtId="3" fontId="3" fillId="16" borderId="13" xfId="0" applyNumberFormat="1" applyFont="1" applyFill="1" applyBorder="1" applyAlignment="1" applyProtection="1">
      <alignment/>
      <protection locked="0"/>
    </xf>
    <xf numFmtId="3" fontId="3" fillId="16" borderId="13" xfId="0" applyNumberFormat="1" applyFont="1" applyFill="1" applyBorder="1" applyAlignment="1">
      <alignment/>
    </xf>
    <xf numFmtId="0" fontId="18" fillId="0" borderId="0" xfId="49" applyFont="1" applyBorder="1" applyAlignment="1">
      <alignment horizontal="right"/>
      <protection/>
    </xf>
    <xf numFmtId="0" fontId="1" fillId="0" borderId="0" xfId="50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13" fillId="25" borderId="39" xfId="0" applyFont="1" applyFill="1" applyBorder="1" applyAlignment="1">
      <alignment horizontal="center" vertical="center"/>
    </xf>
    <xf numFmtId="0" fontId="13" fillId="25" borderId="78" xfId="0" applyFont="1" applyFill="1" applyBorder="1" applyAlignment="1">
      <alignment horizontal="center" vertical="center"/>
    </xf>
    <xf numFmtId="3" fontId="13" fillId="25" borderId="80" xfId="0" applyNumberFormat="1" applyFont="1" applyFill="1" applyBorder="1" applyAlignment="1">
      <alignment horizontal="center" vertical="center"/>
    </xf>
    <xf numFmtId="3" fontId="13" fillId="25" borderId="78" xfId="0" applyNumberFormat="1" applyFont="1" applyFill="1" applyBorder="1" applyAlignment="1">
      <alignment horizontal="center" vertical="center"/>
    </xf>
    <xf numFmtId="49" fontId="13" fillId="25" borderId="78" xfId="0" applyNumberFormat="1" applyFont="1" applyFill="1" applyBorder="1" applyAlignment="1">
      <alignment horizontal="center" vertical="center"/>
    </xf>
    <xf numFmtId="14" fontId="13" fillId="25" borderId="40" xfId="0" applyNumberFormat="1" applyFont="1" applyFill="1" applyBorder="1" applyAlignment="1">
      <alignment horizontal="center" vertical="center"/>
    </xf>
    <xf numFmtId="0" fontId="13" fillId="25" borderId="40" xfId="0" applyFont="1" applyFill="1" applyBorder="1" applyAlignment="1">
      <alignment horizontal="center" vertical="center"/>
    </xf>
    <xf numFmtId="3" fontId="13" fillId="25" borderId="39" xfId="0" applyNumberFormat="1" applyFont="1" applyFill="1" applyBorder="1" applyAlignment="1">
      <alignment horizontal="center" vertical="center"/>
    </xf>
    <xf numFmtId="49" fontId="13" fillId="25" borderId="40" xfId="0" applyNumberFormat="1" applyFont="1" applyFill="1" applyBorder="1" applyAlignment="1">
      <alignment horizontal="center" vertical="center"/>
    </xf>
    <xf numFmtId="14" fontId="13" fillId="25" borderId="78" xfId="0" applyNumberFormat="1" applyFont="1" applyFill="1" applyBorder="1" applyAlignment="1">
      <alignment horizontal="center" vertical="center"/>
    </xf>
    <xf numFmtId="3" fontId="13" fillId="25" borderId="40" xfId="0" applyNumberFormat="1" applyFont="1" applyFill="1" applyBorder="1" applyAlignment="1">
      <alignment horizontal="center" vertical="center"/>
    </xf>
    <xf numFmtId="3" fontId="3" fillId="0" borderId="100" xfId="0" applyNumberFormat="1" applyFont="1" applyFill="1" applyBorder="1" applyAlignment="1">
      <alignment horizontal="left"/>
    </xf>
    <xf numFmtId="3" fontId="1" fillId="0" borderId="100" xfId="0" applyNumberFormat="1" applyFont="1" applyFill="1" applyBorder="1" applyAlignment="1">
      <alignment horizontal="left"/>
    </xf>
    <xf numFmtId="0" fontId="3" fillId="19" borderId="19" xfId="0" applyFont="1" applyFill="1" applyBorder="1" applyAlignment="1">
      <alignment horizontal="left"/>
    </xf>
    <xf numFmtId="49" fontId="1" fillId="0" borderId="100" xfId="0" applyNumberFormat="1" applyFont="1" applyFill="1" applyBorder="1" applyAlignment="1">
      <alignment horizontal="left"/>
    </xf>
    <xf numFmtId="3" fontId="1" fillId="0" borderId="45" xfId="0" applyNumberFormat="1" applyFont="1" applyFill="1" applyBorder="1" applyAlignment="1">
      <alignment horizontal="left"/>
    </xf>
    <xf numFmtId="3" fontId="1" fillId="0" borderId="43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3" fontId="1" fillId="0" borderId="44" xfId="0" applyNumberFormat="1" applyFont="1" applyFill="1" applyBorder="1" applyAlignment="1">
      <alignment horizontal="left"/>
    </xf>
    <xf numFmtId="3" fontId="1" fillId="0" borderId="99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left"/>
    </xf>
    <xf numFmtId="49" fontId="1" fillId="0" borderId="138" xfId="0" applyNumberFormat="1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3" fontId="1" fillId="0" borderId="138" xfId="0" applyNumberFormat="1" applyFont="1" applyFill="1" applyBorder="1" applyAlignment="1">
      <alignment horizontal="left"/>
    </xf>
    <xf numFmtId="0" fontId="1" fillId="0" borderId="13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49" fontId="1" fillId="0" borderId="44" xfId="0" applyNumberFormat="1" applyFont="1" applyFill="1" applyBorder="1" applyAlignment="1">
      <alignment horizontal="left"/>
    </xf>
    <xf numFmtId="3" fontId="3" fillId="19" borderId="43" xfId="0" applyNumberFormat="1" applyFont="1" applyFill="1" applyBorder="1" applyAlignment="1">
      <alignment/>
    </xf>
    <xf numFmtId="3" fontId="3" fillId="19" borderId="69" xfId="0" applyNumberFormat="1" applyFont="1" applyFill="1" applyBorder="1" applyAlignment="1">
      <alignment/>
    </xf>
    <xf numFmtId="3" fontId="3" fillId="19" borderId="100" xfId="0" applyNumberFormat="1" applyFont="1" applyFill="1" applyBorder="1" applyAlignment="1">
      <alignment/>
    </xf>
    <xf numFmtId="3" fontId="3" fillId="19" borderId="23" xfId="0" applyNumberFormat="1" applyFont="1" applyFill="1" applyBorder="1" applyAlignment="1">
      <alignment/>
    </xf>
    <xf numFmtId="3" fontId="3" fillId="19" borderId="100" xfId="0" applyNumberFormat="1" applyFont="1" applyFill="1" applyBorder="1" applyAlignment="1">
      <alignment horizontal="right"/>
    </xf>
    <xf numFmtId="3" fontId="3" fillId="19" borderId="2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3" fillId="19" borderId="19" xfId="0" applyFont="1" applyFill="1" applyBorder="1" applyAlignment="1">
      <alignment horizontal="left"/>
    </xf>
    <xf numFmtId="49" fontId="3" fillId="19" borderId="58" xfId="49" applyNumberFormat="1" applyFont="1" applyFill="1" applyBorder="1" applyAlignment="1">
      <alignment horizontal="center"/>
      <protection/>
    </xf>
    <xf numFmtId="181" fontId="13" fillId="19" borderId="91" xfId="40" applyNumberFormat="1" applyFont="1" applyFill="1" applyBorder="1" applyAlignment="1">
      <alignment/>
    </xf>
    <xf numFmtId="49" fontId="13" fillId="19" borderId="91" xfId="49" applyNumberFormat="1" applyFont="1" applyFill="1" applyBorder="1" applyAlignment="1">
      <alignment horizontal="center"/>
      <protection/>
    </xf>
    <xf numFmtId="3" fontId="13" fillId="19" borderId="91" xfId="49" applyNumberFormat="1" applyFont="1" applyFill="1" applyBorder="1">
      <alignment/>
      <protection/>
    </xf>
    <xf numFmtId="3" fontId="13" fillId="19" borderId="101" xfId="49" applyNumberFormat="1" applyFont="1" applyFill="1" applyBorder="1">
      <alignment/>
      <protection/>
    </xf>
    <xf numFmtId="3" fontId="13" fillId="19" borderId="92" xfId="49" applyNumberFormat="1" applyFont="1" applyFill="1" applyBorder="1">
      <alignment/>
      <protection/>
    </xf>
    <xf numFmtId="49" fontId="13" fillId="25" borderId="51" xfId="49" applyNumberFormat="1" applyFont="1" applyFill="1" applyBorder="1" applyAlignment="1">
      <alignment horizontal="center"/>
      <protection/>
    </xf>
    <xf numFmtId="0" fontId="13" fillId="25" borderId="52" xfId="49" applyFont="1" applyFill="1" applyBorder="1" applyAlignment="1">
      <alignment horizontal="center"/>
      <protection/>
    </xf>
    <xf numFmtId="49" fontId="13" fillId="25" borderId="52" xfId="49" applyNumberFormat="1" applyFont="1" applyFill="1" applyBorder="1" applyAlignment="1">
      <alignment horizontal="center"/>
      <protection/>
    </xf>
    <xf numFmtId="3" fontId="13" fillId="25" borderId="52" xfId="49" applyNumberFormat="1" applyFont="1" applyFill="1" applyBorder="1" applyAlignment="1">
      <alignment horizontal="center"/>
      <protection/>
    </xf>
    <xf numFmtId="3" fontId="13" fillId="25" borderId="107" xfId="35" applyNumberFormat="1" applyFont="1" applyFill="1" applyBorder="1" applyAlignment="1">
      <alignment horizontal="center"/>
    </xf>
    <xf numFmtId="3" fontId="13" fillId="25" borderId="52" xfId="35" applyNumberFormat="1" applyFont="1" applyFill="1" applyBorder="1" applyAlignment="1">
      <alignment horizontal="center"/>
    </xf>
    <xf numFmtId="3" fontId="13" fillId="25" borderId="61" xfId="35" applyNumberFormat="1" applyFont="1" applyFill="1" applyBorder="1" applyAlignment="1">
      <alignment horizontal="center"/>
    </xf>
    <xf numFmtId="49" fontId="13" fillId="0" borderId="58" xfId="49" applyNumberFormat="1" applyFont="1" applyBorder="1" applyAlignment="1">
      <alignment horizontal="center"/>
      <protection/>
    </xf>
    <xf numFmtId="0" fontId="13" fillId="0" borderId="91" xfId="49" applyFont="1" applyBorder="1" applyAlignment="1">
      <alignment horizontal="left"/>
      <protection/>
    </xf>
    <xf numFmtId="49" fontId="13" fillId="0" borderId="91" xfId="49" applyNumberFormat="1" applyFont="1" applyBorder="1" applyAlignment="1">
      <alignment horizontal="center"/>
      <protection/>
    </xf>
    <xf numFmtId="3" fontId="13" fillId="0" borderId="91" xfId="49" applyNumberFormat="1" applyFont="1" applyBorder="1" applyAlignment="1">
      <alignment horizontal="right"/>
      <protection/>
    </xf>
    <xf numFmtId="3" fontId="13" fillId="0" borderId="101" xfId="35" applyNumberFormat="1" applyFont="1" applyBorder="1" applyAlignment="1">
      <alignment horizontal="right"/>
    </xf>
    <xf numFmtId="3" fontId="13" fillId="0" borderId="91" xfId="35" applyNumberFormat="1" applyFont="1" applyBorder="1" applyAlignment="1">
      <alignment horizontal="center"/>
    </xf>
    <xf numFmtId="3" fontId="13" fillId="0" borderId="92" xfId="35" applyNumberFormat="1" applyFont="1" applyBorder="1" applyAlignment="1">
      <alignment horizontal="right"/>
    </xf>
    <xf numFmtId="49" fontId="13" fillId="19" borderId="58" xfId="49" applyNumberFormat="1" applyFont="1" applyFill="1" applyBorder="1" applyAlignment="1">
      <alignment horizontal="center"/>
      <protection/>
    </xf>
    <xf numFmtId="0" fontId="13" fillId="19" borderId="91" xfId="49" applyFont="1" applyFill="1" applyBorder="1" applyAlignment="1">
      <alignment horizontal="left"/>
      <protection/>
    </xf>
    <xf numFmtId="49" fontId="13" fillId="19" borderId="91" xfId="49" applyNumberFormat="1" applyFont="1" applyFill="1" applyBorder="1" applyAlignment="1">
      <alignment horizontal="center"/>
      <protection/>
    </xf>
    <xf numFmtId="3" fontId="13" fillId="19" borderId="91" xfId="49" applyNumberFormat="1" applyFont="1" applyFill="1" applyBorder="1" applyAlignment="1">
      <alignment horizontal="center"/>
      <protection/>
    </xf>
    <xf numFmtId="3" fontId="13" fillId="19" borderId="101" xfId="35" applyNumberFormat="1" applyFont="1" applyFill="1" applyBorder="1" applyAlignment="1">
      <alignment horizontal="center"/>
    </xf>
    <xf numFmtId="3" fontId="13" fillId="19" borderId="91" xfId="35" applyNumberFormat="1" applyFont="1" applyFill="1" applyBorder="1" applyAlignment="1">
      <alignment horizontal="center"/>
    </xf>
    <xf numFmtId="3" fontId="13" fillId="19" borderId="92" xfId="35" applyNumberFormat="1" applyFont="1" applyFill="1" applyBorder="1" applyAlignment="1">
      <alignment horizontal="right"/>
    </xf>
    <xf numFmtId="49" fontId="13" fillId="0" borderId="58" xfId="49" applyNumberFormat="1" applyFont="1" applyBorder="1" applyAlignment="1">
      <alignment horizontal="center"/>
      <protection/>
    </xf>
    <xf numFmtId="0" fontId="13" fillId="0" borderId="91" xfId="49" applyFont="1" applyBorder="1">
      <alignment/>
      <protection/>
    </xf>
    <xf numFmtId="49" fontId="13" fillId="0" borderId="91" xfId="49" applyNumberFormat="1" applyFont="1" applyBorder="1" applyAlignment="1">
      <alignment horizontal="center"/>
      <protection/>
    </xf>
    <xf numFmtId="3" fontId="13" fillId="0" borderId="91" xfId="49" applyNumberFormat="1" applyFont="1" applyBorder="1">
      <alignment/>
      <protection/>
    </xf>
    <xf numFmtId="3" fontId="13" fillId="0" borderId="101" xfId="49" applyNumberFormat="1" applyFont="1" applyBorder="1">
      <alignment/>
      <protection/>
    </xf>
    <xf numFmtId="3" fontId="13" fillId="0" borderId="92" xfId="49" applyNumberFormat="1" applyFont="1" applyBorder="1">
      <alignment/>
      <protection/>
    </xf>
    <xf numFmtId="3" fontId="13" fillId="0" borderId="91" xfId="35" applyNumberFormat="1" applyFont="1" applyBorder="1" applyAlignment="1">
      <alignment horizontal="right"/>
    </xf>
    <xf numFmtId="0" fontId="13" fillId="0" borderId="91" xfId="49" applyFont="1" applyBorder="1" applyAlignment="1">
      <alignment horizontal="left"/>
      <protection/>
    </xf>
    <xf numFmtId="3" fontId="13" fillId="0" borderId="91" xfId="49" applyNumberFormat="1" applyFont="1" applyBorder="1" applyAlignment="1">
      <alignment horizontal="right"/>
      <protection/>
    </xf>
    <xf numFmtId="3" fontId="13" fillId="0" borderId="101" xfId="35" applyNumberFormat="1" applyFont="1" applyBorder="1" applyAlignment="1">
      <alignment horizontal="right"/>
    </xf>
    <xf numFmtId="3" fontId="13" fillId="0" borderId="91" xfId="35" applyNumberFormat="1" applyFont="1" applyBorder="1" applyAlignment="1">
      <alignment horizontal="center"/>
    </xf>
    <xf numFmtId="3" fontId="13" fillId="0" borderId="92" xfId="35" applyNumberFormat="1" applyFont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2" fillId="25" borderId="33" xfId="0" applyFont="1" applyFill="1" applyBorder="1" applyAlignment="1">
      <alignment vertical="center"/>
    </xf>
    <xf numFmtId="0" fontId="2" fillId="25" borderId="34" xfId="0" applyFont="1" applyFill="1" applyBorder="1" applyAlignment="1">
      <alignment horizontal="left" vertical="center"/>
    </xf>
    <xf numFmtId="0" fontId="2" fillId="25" borderId="34" xfId="0" applyFont="1" applyFill="1" applyBorder="1" applyAlignment="1">
      <alignment vertical="center" wrapText="1"/>
    </xf>
    <xf numFmtId="3" fontId="2" fillId="25" borderId="77" xfId="0" applyNumberFormat="1" applyFont="1" applyFill="1" applyBorder="1" applyAlignment="1" applyProtection="1">
      <alignment vertical="center" wrapText="1"/>
      <protection locked="0"/>
    </xf>
    <xf numFmtId="3" fontId="2" fillId="25" borderId="77" xfId="0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4" fontId="3" fillId="25" borderId="78" xfId="50" applyNumberFormat="1" applyFont="1" applyFill="1" applyBorder="1" applyAlignment="1">
      <alignment horizontal="left" vertical="center"/>
      <protection/>
    </xf>
    <xf numFmtId="0" fontId="15" fillId="0" borderId="0" xfId="0" applyFont="1" applyAlignment="1">
      <alignment/>
    </xf>
    <xf numFmtId="3" fontId="1" fillId="0" borderId="0" xfId="50" applyNumberFormat="1" applyFont="1">
      <alignment/>
      <protection/>
    </xf>
    <xf numFmtId="0" fontId="1" fillId="0" borderId="0" xfId="50" applyFont="1" applyBorder="1">
      <alignment/>
      <protection/>
    </xf>
    <xf numFmtId="0" fontId="1" fillId="0" borderId="27" xfId="50" applyFont="1" applyBorder="1">
      <alignment/>
      <protection/>
    </xf>
    <xf numFmtId="3" fontId="1" fillId="0" borderId="0" xfId="50" applyNumberFormat="1" applyFont="1" applyBorder="1">
      <alignment/>
      <protection/>
    </xf>
    <xf numFmtId="0" fontId="52" fillId="0" borderId="0" xfId="50" applyFont="1">
      <alignment/>
      <protection/>
    </xf>
    <xf numFmtId="0" fontId="1" fillId="0" borderId="0" xfId="50" applyFont="1" applyAlignment="1">
      <alignment horizontal="right"/>
      <protection/>
    </xf>
    <xf numFmtId="0" fontId="1" fillId="0" borderId="0" xfId="51" applyFont="1">
      <alignment/>
      <protection/>
    </xf>
    <xf numFmtId="0" fontId="1" fillId="0" borderId="0" xfId="51" applyFont="1" applyBorder="1">
      <alignment/>
      <protection/>
    </xf>
    <xf numFmtId="0" fontId="3" fillId="0" borderId="0" xfId="51" applyFont="1">
      <alignment/>
      <protection/>
    </xf>
    <xf numFmtId="3" fontId="1" fillId="0" borderId="51" xfId="51" applyNumberFormat="1" applyFont="1" applyBorder="1">
      <alignment/>
      <protection/>
    </xf>
    <xf numFmtId="3" fontId="1" fillId="0" borderId="46" xfId="51" applyNumberFormat="1" applyFont="1" applyBorder="1">
      <alignment/>
      <protection/>
    </xf>
    <xf numFmtId="3" fontId="1" fillId="0" borderId="50" xfId="51" applyNumberFormat="1" applyFont="1" applyBorder="1" applyAlignment="1">
      <alignment horizontal="right"/>
      <protection/>
    </xf>
    <xf numFmtId="1" fontId="1" fillId="0" borderId="50" xfId="51" applyNumberFormat="1" applyFont="1" applyFill="1" applyBorder="1" applyAlignment="1">
      <alignment horizontal="right"/>
      <protection/>
    </xf>
    <xf numFmtId="3" fontId="1" fillId="0" borderId="50" xfId="51" applyNumberFormat="1" applyFont="1" applyBorder="1">
      <alignment/>
      <protection/>
    </xf>
    <xf numFmtId="3" fontId="1" fillId="0" borderId="10" xfId="51" applyNumberFormat="1" applyFont="1" applyBorder="1">
      <alignment/>
      <protection/>
    </xf>
    <xf numFmtId="4" fontId="1" fillId="0" borderId="0" xfId="51" applyNumberFormat="1" applyFont="1" applyFill="1" applyBorder="1" applyAlignment="1">
      <alignment horizontal="center"/>
      <protection/>
    </xf>
    <xf numFmtId="1" fontId="1" fillId="0" borderId="50" xfId="51" applyNumberFormat="1" applyFont="1" applyBorder="1" applyAlignment="1">
      <alignment horizontal="right"/>
      <protection/>
    </xf>
    <xf numFmtId="3" fontId="1" fillId="0" borderId="118" xfId="51" applyNumberFormat="1" applyFont="1" applyBorder="1" applyAlignment="1">
      <alignment horizontal="right"/>
      <protection/>
    </xf>
    <xf numFmtId="1" fontId="1" fillId="0" borderId="118" xfId="51" applyNumberFormat="1" applyFont="1" applyBorder="1" applyAlignment="1">
      <alignment horizontal="right"/>
      <protection/>
    </xf>
    <xf numFmtId="3" fontId="1" fillId="0" borderId="118" xfId="51" applyNumberFormat="1" applyFont="1" applyBorder="1">
      <alignment/>
      <protection/>
    </xf>
    <xf numFmtId="3" fontId="1" fillId="0" borderId="62" xfId="51" applyNumberFormat="1" applyFont="1" applyBorder="1">
      <alignment/>
      <protection/>
    </xf>
    <xf numFmtId="3" fontId="1" fillId="0" borderId="0" xfId="51" applyNumberFormat="1" applyFont="1">
      <alignment/>
      <protection/>
    </xf>
    <xf numFmtId="3" fontId="1" fillId="0" borderId="103" xfId="51" applyNumberFormat="1" applyFont="1" applyBorder="1" applyAlignment="1">
      <alignment horizontal="right"/>
      <protection/>
    </xf>
    <xf numFmtId="3" fontId="1" fillId="0" borderId="59" xfId="51" applyNumberFormat="1" applyFont="1" applyFill="1" applyBorder="1">
      <alignment/>
      <protection/>
    </xf>
    <xf numFmtId="3" fontId="1" fillId="0" borderId="10" xfId="51" applyNumberFormat="1" applyFont="1" applyBorder="1" applyAlignment="1">
      <alignment horizontal="right"/>
      <protection/>
    </xf>
    <xf numFmtId="3" fontId="1" fillId="0" borderId="92" xfId="51" applyNumberFormat="1" applyFont="1" applyFill="1" applyBorder="1">
      <alignment/>
      <protection/>
    </xf>
    <xf numFmtId="3" fontId="1" fillId="0" borderId="58" xfId="51" applyNumberFormat="1" applyFont="1" applyBorder="1" applyAlignment="1">
      <alignment horizontal="right"/>
      <protection/>
    </xf>
    <xf numFmtId="3" fontId="1" fillId="0" borderId="58" xfId="51" applyNumberFormat="1" applyFont="1" applyBorder="1">
      <alignment/>
      <protection/>
    </xf>
    <xf numFmtId="3" fontId="1" fillId="0" borderId="15" xfId="51" applyNumberFormat="1" applyFont="1" applyBorder="1">
      <alignment/>
      <protection/>
    </xf>
    <xf numFmtId="0" fontId="1" fillId="0" borderId="0" xfId="51" applyFont="1" applyAlignment="1">
      <alignment horizontal="center"/>
      <protection/>
    </xf>
    <xf numFmtId="3" fontId="1" fillId="0" borderId="51" xfId="51" applyNumberFormat="1" applyFont="1" applyBorder="1" applyAlignment="1">
      <alignment horizontal="right"/>
      <protection/>
    </xf>
    <xf numFmtId="3" fontId="1" fillId="0" borderId="52" xfId="51" applyNumberFormat="1" applyFont="1" applyFill="1" applyBorder="1">
      <alignment/>
      <protection/>
    </xf>
    <xf numFmtId="3" fontId="1" fillId="0" borderId="93" xfId="51" applyNumberFormat="1" applyFont="1" applyBorder="1">
      <alignment/>
      <protection/>
    </xf>
    <xf numFmtId="3" fontId="1" fillId="0" borderId="13" xfId="51" applyNumberFormat="1" applyFont="1" applyBorder="1">
      <alignment/>
      <protection/>
    </xf>
    <xf numFmtId="3" fontId="1" fillId="0" borderId="12" xfId="51" applyNumberFormat="1" applyFont="1" applyBorder="1">
      <alignment/>
      <protection/>
    </xf>
    <xf numFmtId="0" fontId="3" fillId="0" borderId="0" xfId="51" applyFont="1" applyFill="1" applyBorder="1" applyAlignment="1">
      <alignment horizontal="center"/>
      <protection/>
    </xf>
    <xf numFmtId="3" fontId="1" fillId="0" borderId="60" xfId="51" applyNumberFormat="1" applyFont="1" applyFill="1" applyBorder="1">
      <alignment/>
      <protection/>
    </xf>
    <xf numFmtId="3" fontId="1" fillId="0" borderId="88" xfId="51" applyNumberFormat="1" applyFont="1" applyFill="1" applyBorder="1">
      <alignment/>
      <protection/>
    </xf>
    <xf numFmtId="3" fontId="1" fillId="0" borderId="91" xfId="51" applyNumberFormat="1" applyFont="1" applyFill="1" applyBorder="1">
      <alignment/>
      <protection/>
    </xf>
    <xf numFmtId="0" fontId="1" fillId="0" borderId="0" xfId="51" applyFont="1" applyAlignment="1">
      <alignment horizontal="right"/>
      <protection/>
    </xf>
    <xf numFmtId="1" fontId="1" fillId="0" borderId="51" xfId="51" applyNumberFormat="1" applyFont="1" applyBorder="1" applyAlignment="1">
      <alignment horizontal="right"/>
      <protection/>
    </xf>
    <xf numFmtId="4" fontId="3" fillId="0" borderId="0" xfId="51" applyNumberFormat="1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/>
      <protection/>
    </xf>
    <xf numFmtId="0" fontId="2" fillId="0" borderId="0" xfId="51" applyFont="1">
      <alignment/>
      <protection/>
    </xf>
    <xf numFmtId="0" fontId="1" fillId="0" borderId="0" xfId="51" applyFont="1" applyFill="1">
      <alignment/>
      <protection/>
    </xf>
    <xf numFmtId="0" fontId="1" fillId="0" borderId="18" xfId="51" applyFont="1" applyBorder="1">
      <alignment/>
      <protection/>
    </xf>
    <xf numFmtId="3" fontId="1" fillId="0" borderId="29" xfId="51" applyNumberFormat="1" applyFont="1" applyFill="1" applyBorder="1">
      <alignment/>
      <protection/>
    </xf>
    <xf numFmtId="0" fontId="1" fillId="0" borderId="71" xfId="51" applyFont="1" applyBorder="1">
      <alignment/>
      <protection/>
    </xf>
    <xf numFmtId="3" fontId="1" fillId="0" borderId="19" xfId="51" applyNumberFormat="1" applyFont="1" applyFill="1" applyBorder="1">
      <alignment/>
      <protection/>
    </xf>
    <xf numFmtId="0" fontId="1" fillId="0" borderId="16" xfId="51" applyFont="1" applyBorder="1">
      <alignment/>
      <protection/>
    </xf>
    <xf numFmtId="3" fontId="1" fillId="0" borderId="15" xfId="51" applyNumberFormat="1" applyFont="1" applyFill="1" applyBorder="1">
      <alignment/>
      <protection/>
    </xf>
    <xf numFmtId="0" fontId="1" fillId="0" borderId="11" xfId="51" applyFont="1" applyBorder="1">
      <alignment/>
      <protection/>
    </xf>
    <xf numFmtId="3" fontId="1" fillId="0" borderId="10" xfId="51" applyNumberFormat="1" applyFont="1" applyFill="1" applyBorder="1">
      <alignment/>
      <protection/>
    </xf>
    <xf numFmtId="0" fontId="1" fillId="0" borderId="0" xfId="51" applyFont="1" applyFill="1" applyBorder="1">
      <alignment/>
      <protection/>
    </xf>
    <xf numFmtId="0" fontId="1" fillId="0" borderId="16" xfId="51" applyFont="1" applyFill="1" applyBorder="1">
      <alignment/>
      <protection/>
    </xf>
    <xf numFmtId="0" fontId="1" fillId="0" borderId="11" xfId="51" applyFont="1" applyFill="1" applyBorder="1">
      <alignment/>
      <protection/>
    </xf>
    <xf numFmtId="0" fontId="1" fillId="0" borderId="73" xfId="51" applyFont="1" applyFill="1" applyBorder="1">
      <alignment/>
      <protection/>
    </xf>
    <xf numFmtId="3" fontId="1" fillId="0" borderId="62" xfId="51" applyNumberFormat="1" applyFont="1" applyFill="1" applyBorder="1">
      <alignment/>
      <protection/>
    </xf>
    <xf numFmtId="3" fontId="1" fillId="0" borderId="0" xfId="51" applyNumberFormat="1" applyFont="1" applyFill="1" applyBorder="1">
      <alignment/>
      <protection/>
    </xf>
    <xf numFmtId="3" fontId="1" fillId="0" borderId="46" xfId="51" applyNumberFormat="1" applyFont="1" applyFill="1" applyBorder="1">
      <alignment/>
      <protection/>
    </xf>
    <xf numFmtId="3" fontId="1" fillId="0" borderId="0" xfId="51" applyNumberFormat="1" applyFont="1" applyBorder="1">
      <alignment/>
      <protection/>
    </xf>
    <xf numFmtId="3" fontId="1" fillId="0" borderId="29" xfId="51" applyNumberFormat="1" applyFont="1" applyBorder="1">
      <alignment/>
      <protection/>
    </xf>
    <xf numFmtId="14" fontId="1" fillId="0" borderId="0" xfId="51" applyNumberFormat="1" applyFont="1" applyFill="1">
      <alignment/>
      <protection/>
    </xf>
    <xf numFmtId="3" fontId="52" fillId="0" borderId="0" xfId="51" applyNumberFormat="1" applyFont="1" applyBorder="1" applyAlignment="1">
      <alignment horizontal="left"/>
      <protection/>
    </xf>
    <xf numFmtId="0" fontId="3" fillId="0" borderId="0" xfId="51" applyFont="1" applyBorder="1">
      <alignment/>
      <protection/>
    </xf>
    <xf numFmtId="3" fontId="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3" fontId="1" fillId="0" borderId="50" xfId="51" applyNumberFormat="1" applyFont="1" applyFill="1" applyBorder="1">
      <alignment/>
      <protection/>
    </xf>
    <xf numFmtId="3" fontId="1" fillId="0" borderId="93" xfId="51" applyNumberFormat="1" applyFont="1" applyFill="1" applyBorder="1">
      <alignment/>
      <protection/>
    </xf>
    <xf numFmtId="0" fontId="13" fillId="0" borderId="13" xfId="51" applyFont="1" applyBorder="1">
      <alignment/>
      <protection/>
    </xf>
    <xf numFmtId="3" fontId="1" fillId="0" borderId="58" xfId="51" applyNumberFormat="1" applyFont="1" applyFill="1" applyBorder="1">
      <alignment/>
      <protection/>
    </xf>
    <xf numFmtId="3" fontId="1" fillId="0" borderId="118" xfId="51" applyNumberFormat="1" applyFont="1" applyFill="1" applyBorder="1">
      <alignment/>
      <protection/>
    </xf>
    <xf numFmtId="0" fontId="13" fillId="0" borderId="12" xfId="51" applyFont="1" applyBorder="1">
      <alignment/>
      <protection/>
    </xf>
    <xf numFmtId="3" fontId="3" fillId="25" borderId="39" xfId="51" applyNumberFormat="1" applyFont="1" applyFill="1" applyBorder="1" applyAlignment="1">
      <alignment horizontal="left"/>
      <protection/>
    </xf>
    <xf numFmtId="0" fontId="1" fillId="25" borderId="79" xfId="51" applyFont="1" applyFill="1" applyBorder="1" applyAlignment="1">
      <alignment horizontal="center"/>
      <protection/>
    </xf>
    <xf numFmtId="0" fontId="1" fillId="25" borderId="57" xfId="51" applyFont="1" applyFill="1" applyBorder="1" applyAlignment="1">
      <alignment horizontal="center"/>
      <protection/>
    </xf>
    <xf numFmtId="0" fontId="1" fillId="25" borderId="56" xfId="51" applyFont="1" applyFill="1" applyBorder="1" applyAlignment="1">
      <alignment horizontal="center"/>
      <protection/>
    </xf>
    <xf numFmtId="0" fontId="3" fillId="16" borderId="36" xfId="51" applyFont="1" applyFill="1" applyBorder="1">
      <alignment/>
      <protection/>
    </xf>
    <xf numFmtId="3" fontId="3" fillId="16" borderId="39" xfId="51" applyNumberFormat="1" applyFont="1" applyFill="1" applyBorder="1" applyAlignment="1">
      <alignment horizontal="left"/>
      <protection/>
    </xf>
    <xf numFmtId="0" fontId="1" fillId="16" borderId="40" xfId="51" applyFont="1" applyFill="1" applyBorder="1">
      <alignment/>
      <protection/>
    </xf>
    <xf numFmtId="0" fontId="3" fillId="16" borderId="80" xfId="51" applyFont="1" applyFill="1" applyBorder="1">
      <alignment/>
      <protection/>
    </xf>
    <xf numFmtId="3" fontId="3" fillId="25" borderId="39" xfId="51" applyNumberFormat="1" applyFont="1" applyFill="1" applyBorder="1">
      <alignment/>
      <protection/>
    </xf>
    <xf numFmtId="3" fontId="3" fillId="25" borderId="40" xfId="51" applyNumberFormat="1" applyFont="1" applyFill="1" applyBorder="1">
      <alignment/>
      <protection/>
    </xf>
    <xf numFmtId="3" fontId="3" fillId="16" borderId="39" xfId="51" applyNumberFormat="1" applyFont="1" applyFill="1" applyBorder="1">
      <alignment/>
      <protection/>
    </xf>
    <xf numFmtId="3" fontId="1" fillId="16" borderId="40" xfId="51" applyNumberFormat="1" applyFont="1" applyFill="1" applyBorder="1">
      <alignment/>
      <protection/>
    </xf>
    <xf numFmtId="3" fontId="1" fillId="25" borderId="40" xfId="51" applyNumberFormat="1" applyFont="1" applyFill="1" applyBorder="1">
      <alignment/>
      <protection/>
    </xf>
    <xf numFmtId="0" fontId="3" fillId="25" borderId="72" xfId="51" applyFont="1" applyFill="1" applyBorder="1">
      <alignment/>
      <protection/>
    </xf>
    <xf numFmtId="0" fontId="13" fillId="25" borderId="79" xfId="51" applyFont="1" applyFill="1" applyBorder="1">
      <alignment/>
      <protection/>
    </xf>
    <xf numFmtId="0" fontId="3" fillId="16" borderId="78" xfId="51" applyFont="1" applyFill="1" applyBorder="1">
      <alignment/>
      <protection/>
    </xf>
    <xf numFmtId="0" fontId="3" fillId="25" borderId="37" xfId="51" applyFont="1" applyFill="1" applyBorder="1" applyAlignment="1">
      <alignment horizontal="center"/>
      <protection/>
    </xf>
    <xf numFmtId="0" fontId="3" fillId="25" borderId="36" xfId="51" applyFont="1" applyFill="1" applyBorder="1" applyAlignment="1">
      <alignment horizontal="center"/>
      <protection/>
    </xf>
    <xf numFmtId="0" fontId="3" fillId="25" borderId="78" xfId="51" applyFont="1" applyFill="1" applyBorder="1" applyAlignment="1">
      <alignment horizontal="center"/>
      <protection/>
    </xf>
    <xf numFmtId="3" fontId="1" fillId="25" borderId="79" xfId="51" applyNumberFormat="1" applyFont="1" applyFill="1" applyBorder="1" applyAlignment="1">
      <alignment horizontal="center"/>
      <protection/>
    </xf>
    <xf numFmtId="0" fontId="1" fillId="25" borderId="78" xfId="51" applyFont="1" applyFill="1" applyBorder="1" applyAlignment="1">
      <alignment horizontal="center"/>
      <protection/>
    </xf>
    <xf numFmtId="1" fontId="1" fillId="0" borderId="15" xfId="51" applyNumberFormat="1" applyFont="1" applyBorder="1" applyAlignment="1">
      <alignment horizontal="right"/>
      <protection/>
    </xf>
    <xf numFmtId="1" fontId="1" fillId="0" borderId="10" xfId="51" applyNumberFormat="1" applyFont="1" applyBorder="1" applyAlignment="1">
      <alignment horizontal="right"/>
      <protection/>
    </xf>
    <xf numFmtId="1" fontId="1" fillId="0" borderId="10" xfId="51" applyNumberFormat="1" applyFont="1" applyFill="1" applyBorder="1" applyAlignment="1">
      <alignment horizontal="right"/>
      <protection/>
    </xf>
    <xf numFmtId="1" fontId="1" fillId="0" borderId="119" xfId="51" applyNumberFormat="1" applyFont="1" applyBorder="1" applyAlignment="1">
      <alignment horizontal="right"/>
      <protection/>
    </xf>
    <xf numFmtId="1" fontId="1" fillId="0" borderId="59" xfId="51" applyNumberFormat="1" applyFont="1" applyBorder="1" applyAlignment="1">
      <alignment horizontal="right"/>
      <protection/>
    </xf>
    <xf numFmtId="1" fontId="1" fillId="0" borderId="59" xfId="51" applyNumberFormat="1" applyFont="1" applyFill="1" applyBorder="1" applyAlignment="1">
      <alignment horizontal="right"/>
      <protection/>
    </xf>
    <xf numFmtId="3" fontId="1" fillId="0" borderId="15" xfId="51" applyNumberFormat="1" applyFont="1" applyBorder="1" applyAlignment="1">
      <alignment horizontal="right"/>
      <protection/>
    </xf>
    <xf numFmtId="3" fontId="1" fillId="0" borderId="17" xfId="51" applyNumberFormat="1" applyFont="1" applyFill="1" applyBorder="1">
      <alignment/>
      <protection/>
    </xf>
    <xf numFmtId="3" fontId="1" fillId="0" borderId="13" xfId="51" applyNumberFormat="1" applyFont="1" applyFill="1" applyBorder="1">
      <alignment/>
      <protection/>
    </xf>
    <xf numFmtId="3" fontId="1" fillId="0" borderId="27" xfId="51" applyNumberFormat="1" applyFont="1" applyFill="1" applyBorder="1">
      <alignment/>
      <protection/>
    </xf>
    <xf numFmtId="0" fontId="13" fillId="25" borderId="78" xfId="51" applyFont="1" applyFill="1" applyBorder="1">
      <alignment/>
      <protection/>
    </xf>
    <xf numFmtId="3" fontId="3" fillId="25" borderId="79" xfId="51" applyNumberFormat="1" applyFont="1" applyFill="1" applyBorder="1" applyAlignment="1">
      <alignment horizontal="center"/>
      <protection/>
    </xf>
    <xf numFmtId="3" fontId="3" fillId="25" borderId="56" xfId="51" applyNumberFormat="1" applyFont="1" applyFill="1" applyBorder="1">
      <alignment/>
      <protection/>
    </xf>
    <xf numFmtId="3" fontId="3" fillId="25" borderId="79" xfId="51" applyNumberFormat="1" applyFont="1" applyFill="1" applyBorder="1" applyAlignment="1">
      <alignment horizontal="right"/>
      <protection/>
    </xf>
    <xf numFmtId="3" fontId="3" fillId="25" borderId="78" xfId="51" applyNumberFormat="1" applyFont="1" applyFill="1" applyBorder="1">
      <alignment/>
      <protection/>
    </xf>
    <xf numFmtId="3" fontId="3" fillId="25" borderId="57" xfId="51" applyNumberFormat="1" applyFont="1" applyFill="1" applyBorder="1" applyAlignment="1">
      <alignment horizontal="right"/>
      <protection/>
    </xf>
    <xf numFmtId="3" fontId="3" fillId="25" borderId="79" xfId="51" applyNumberFormat="1" applyFont="1" applyFill="1" applyBorder="1">
      <alignment/>
      <protection/>
    </xf>
    <xf numFmtId="3" fontId="3" fillId="25" borderId="57" xfId="51" applyNumberFormat="1" applyFont="1" applyFill="1" applyBorder="1">
      <alignment/>
      <protection/>
    </xf>
    <xf numFmtId="0" fontId="3" fillId="25" borderId="40" xfId="51" applyFont="1" applyFill="1" applyBorder="1" applyAlignment="1">
      <alignment horizontal="center"/>
      <protection/>
    </xf>
    <xf numFmtId="0" fontId="3" fillId="25" borderId="39" xfId="51" applyFont="1" applyFill="1" applyBorder="1" applyAlignment="1">
      <alignment horizontal="center"/>
      <protection/>
    </xf>
    <xf numFmtId="3" fontId="3" fillId="25" borderId="36" xfId="51" applyNumberFormat="1" applyFont="1" applyFill="1" applyBorder="1" applyAlignment="1">
      <alignment horizontal="left"/>
      <protection/>
    </xf>
    <xf numFmtId="3" fontId="1" fillId="25" borderId="36" xfId="51" applyNumberFormat="1" applyFont="1" applyFill="1" applyBorder="1" applyAlignment="1">
      <alignment horizontal="center"/>
      <protection/>
    </xf>
    <xf numFmtId="0" fontId="1" fillId="25" borderId="47" xfId="51" applyFont="1" applyFill="1" applyBorder="1" applyAlignment="1">
      <alignment horizontal="center"/>
      <protection/>
    </xf>
    <xf numFmtId="0" fontId="1" fillId="25" borderId="98" xfId="51" applyFont="1" applyFill="1" applyBorder="1" applyAlignment="1">
      <alignment horizontal="center"/>
      <protection/>
    </xf>
    <xf numFmtId="1" fontId="1" fillId="0" borderId="62" xfId="51" applyNumberFormat="1" applyFont="1" applyBorder="1" applyAlignment="1">
      <alignment horizontal="right"/>
      <protection/>
    </xf>
    <xf numFmtId="0" fontId="1" fillId="0" borderId="46" xfId="51" applyFont="1" applyBorder="1">
      <alignment/>
      <protection/>
    </xf>
    <xf numFmtId="0" fontId="1" fillId="0" borderId="61" xfId="51" applyFont="1" applyBorder="1">
      <alignment/>
      <protection/>
    </xf>
    <xf numFmtId="3" fontId="1" fillId="0" borderId="10" xfId="51" applyNumberFormat="1" applyFont="1" applyFill="1" applyBorder="1" applyAlignment="1">
      <alignment horizontal="right"/>
      <protection/>
    </xf>
    <xf numFmtId="3" fontId="1" fillId="0" borderId="83" xfId="51" applyNumberFormat="1" applyFont="1" applyBorder="1" applyAlignment="1">
      <alignment horizontal="right"/>
      <protection/>
    </xf>
    <xf numFmtId="3" fontId="1" fillId="0" borderId="119" xfId="51" applyNumberFormat="1" applyFont="1" applyBorder="1" applyAlignment="1">
      <alignment horizontal="right"/>
      <protection/>
    </xf>
    <xf numFmtId="3" fontId="1" fillId="0" borderId="59" xfId="51" applyNumberFormat="1" applyFont="1" applyBorder="1" applyAlignment="1">
      <alignment horizontal="right"/>
      <protection/>
    </xf>
    <xf numFmtId="3" fontId="1" fillId="0" borderId="139" xfId="51" applyNumberFormat="1" applyFont="1" applyBorder="1" applyAlignment="1">
      <alignment horizontal="right"/>
      <protection/>
    </xf>
    <xf numFmtId="0" fontId="1" fillId="25" borderId="109" xfId="51" applyFont="1" applyFill="1" applyBorder="1" applyAlignment="1">
      <alignment horizontal="center"/>
      <protection/>
    </xf>
    <xf numFmtId="3" fontId="1" fillId="0" borderId="63" xfId="51" applyNumberFormat="1" applyFont="1" applyFill="1" applyBorder="1">
      <alignment/>
      <protection/>
    </xf>
    <xf numFmtId="3" fontId="1" fillId="0" borderId="107" xfId="51" applyNumberFormat="1" applyFont="1" applyFill="1" applyBorder="1">
      <alignment/>
      <protection/>
    </xf>
    <xf numFmtId="1" fontId="1" fillId="0" borderId="29" xfId="51" applyNumberFormat="1" applyFont="1" applyBorder="1" applyAlignment="1">
      <alignment horizontal="right"/>
      <protection/>
    </xf>
    <xf numFmtId="1" fontId="1" fillId="0" borderId="64" xfId="51" applyNumberFormat="1" applyFont="1" applyBorder="1" applyAlignment="1">
      <alignment horizontal="right"/>
      <protection/>
    </xf>
    <xf numFmtId="1" fontId="1" fillId="0" borderId="88" xfId="51" applyNumberFormat="1" applyFont="1" applyBorder="1" applyAlignment="1">
      <alignment horizontal="right"/>
      <protection/>
    </xf>
    <xf numFmtId="1" fontId="1" fillId="0" borderId="88" xfId="51" applyNumberFormat="1" applyFont="1" applyFill="1" applyBorder="1" applyAlignment="1">
      <alignment horizontal="right"/>
      <protection/>
    </xf>
    <xf numFmtId="1" fontId="1" fillId="0" borderId="52" xfId="51" applyNumberFormat="1" applyFont="1" applyBorder="1" applyAlignment="1">
      <alignment horizontal="right"/>
      <protection/>
    </xf>
    <xf numFmtId="0" fontId="1" fillId="25" borderId="55" xfId="51" applyFont="1" applyFill="1" applyBorder="1" applyAlignment="1">
      <alignment horizontal="center"/>
      <protection/>
    </xf>
    <xf numFmtId="1" fontId="1" fillId="0" borderId="63" xfId="51" applyNumberFormat="1" applyFont="1" applyBorder="1" applyAlignment="1">
      <alignment horizontal="right"/>
      <protection/>
    </xf>
    <xf numFmtId="1" fontId="1" fillId="0" borderId="87" xfId="51" applyNumberFormat="1" applyFont="1" applyBorder="1" applyAlignment="1">
      <alignment horizontal="right"/>
      <protection/>
    </xf>
    <xf numFmtId="1" fontId="1" fillId="0" borderId="87" xfId="51" applyNumberFormat="1" applyFont="1" applyFill="1" applyBorder="1" applyAlignment="1">
      <alignment horizontal="right"/>
      <protection/>
    </xf>
    <xf numFmtId="1" fontId="1" fillId="0" borderId="107" xfId="51" applyNumberFormat="1" applyFont="1" applyBorder="1" applyAlignment="1">
      <alignment horizontal="right"/>
      <protection/>
    </xf>
    <xf numFmtId="3" fontId="3" fillId="25" borderId="55" xfId="51" applyNumberFormat="1" applyFont="1" applyFill="1" applyBorder="1">
      <alignment/>
      <protection/>
    </xf>
    <xf numFmtId="3" fontId="1" fillId="0" borderId="92" xfId="51" applyNumberFormat="1" applyFont="1" applyBorder="1" applyAlignment="1">
      <alignment horizontal="right"/>
      <protection/>
    </xf>
    <xf numFmtId="3" fontId="1" fillId="0" borderId="49" xfId="51" applyNumberFormat="1" applyFont="1" applyBorder="1" applyAlignment="1">
      <alignment horizontal="right"/>
      <protection/>
    </xf>
    <xf numFmtId="3" fontId="1" fillId="0" borderId="17" xfId="51" applyNumberFormat="1" applyFont="1" applyFill="1" applyBorder="1" applyAlignment="1">
      <alignment horizontal="right"/>
      <protection/>
    </xf>
    <xf numFmtId="3" fontId="1" fillId="0" borderId="13" xfId="51" applyNumberFormat="1" applyFont="1" applyFill="1" applyBorder="1" applyAlignment="1">
      <alignment horizontal="right"/>
      <protection/>
    </xf>
    <xf numFmtId="3" fontId="1" fillId="0" borderId="30" xfId="51" applyNumberFormat="1" applyFont="1" applyFill="1" applyBorder="1" applyAlignment="1">
      <alignment horizontal="right"/>
      <protection/>
    </xf>
    <xf numFmtId="3" fontId="3" fillId="25" borderId="78" xfId="51" applyNumberFormat="1" applyFont="1" applyFill="1" applyBorder="1" applyAlignment="1">
      <alignment horizontal="right"/>
      <protection/>
    </xf>
    <xf numFmtId="3" fontId="1" fillId="0" borderId="17" xfId="51" applyNumberFormat="1" applyFont="1" applyBorder="1">
      <alignment/>
      <protection/>
    </xf>
    <xf numFmtId="3" fontId="1" fillId="0" borderId="30" xfId="51" applyNumberFormat="1" applyFont="1" applyBorder="1">
      <alignment/>
      <protection/>
    </xf>
    <xf numFmtId="3" fontId="1" fillId="0" borderId="119" xfId="51" applyNumberFormat="1" applyFont="1" applyBorder="1">
      <alignment/>
      <protection/>
    </xf>
    <xf numFmtId="3" fontId="1" fillId="0" borderId="59" xfId="51" applyNumberFormat="1" applyFont="1" applyBorder="1">
      <alignment/>
      <protection/>
    </xf>
    <xf numFmtId="3" fontId="1" fillId="0" borderId="61" xfId="51" applyNumberFormat="1" applyFont="1" applyBorder="1">
      <alignment/>
      <protection/>
    </xf>
    <xf numFmtId="3" fontId="1" fillId="0" borderId="63" xfId="51" applyNumberFormat="1" applyFont="1" applyBorder="1">
      <alignment/>
      <protection/>
    </xf>
    <xf numFmtId="3" fontId="1" fillId="0" borderId="87" xfId="51" applyNumberFormat="1" applyFont="1" applyBorder="1">
      <alignment/>
      <protection/>
    </xf>
    <xf numFmtId="3" fontId="1" fillId="0" borderId="107" xfId="51" applyNumberFormat="1" applyFont="1" applyBorder="1">
      <alignment/>
      <protection/>
    </xf>
    <xf numFmtId="0" fontId="3" fillId="25" borderId="38" xfId="51" applyFont="1" applyFill="1" applyBorder="1" applyAlignment="1">
      <alignment horizontal="center"/>
      <protection/>
    </xf>
    <xf numFmtId="3" fontId="1" fillId="0" borderId="63" xfId="51" applyNumberFormat="1" applyFont="1" applyBorder="1" applyAlignment="1">
      <alignment horizontal="right"/>
      <protection/>
    </xf>
    <xf numFmtId="3" fontId="3" fillId="25" borderId="55" xfId="51" applyNumberFormat="1" applyFont="1" applyFill="1" applyBorder="1" applyAlignment="1">
      <alignment horizontal="right"/>
      <protection/>
    </xf>
    <xf numFmtId="0" fontId="1" fillId="25" borderId="38" xfId="51" applyFont="1" applyFill="1" applyBorder="1" applyAlignment="1">
      <alignment horizontal="center"/>
      <protection/>
    </xf>
    <xf numFmtId="3" fontId="1" fillId="0" borderId="12" xfId="51" applyNumberFormat="1" applyFont="1" applyFill="1" applyBorder="1" applyAlignment="1">
      <alignment horizontal="right"/>
      <protection/>
    </xf>
    <xf numFmtId="3" fontId="1" fillId="0" borderId="67" xfId="51" applyNumberFormat="1" applyFont="1" applyBorder="1" applyAlignment="1">
      <alignment horizontal="right"/>
      <protection/>
    </xf>
    <xf numFmtId="3" fontId="1" fillId="0" borderId="20" xfId="51" applyNumberFormat="1" applyFont="1" applyBorder="1" applyAlignment="1">
      <alignment horizontal="right"/>
      <protection/>
    </xf>
    <xf numFmtId="3" fontId="1" fillId="0" borderId="54" xfId="51" applyNumberFormat="1" applyFont="1" applyBorder="1" applyAlignment="1">
      <alignment horizontal="right"/>
      <protection/>
    </xf>
    <xf numFmtId="3" fontId="1" fillId="0" borderId="82" xfId="51" applyNumberFormat="1" applyFont="1" applyFill="1" applyBorder="1">
      <alignment/>
      <protection/>
    </xf>
    <xf numFmtId="3" fontId="1" fillId="0" borderId="12" xfId="51" applyNumberFormat="1" applyFont="1" applyBorder="1" applyAlignment="1">
      <alignment horizontal="right"/>
      <protection/>
    </xf>
    <xf numFmtId="3" fontId="1" fillId="0" borderId="13" xfId="51" applyNumberFormat="1" applyFont="1" applyBorder="1" applyAlignment="1">
      <alignment horizontal="right"/>
      <protection/>
    </xf>
    <xf numFmtId="3" fontId="1" fillId="0" borderId="27" xfId="51" applyNumberFormat="1" applyFont="1" applyBorder="1" applyAlignment="1">
      <alignment horizontal="right"/>
      <protection/>
    </xf>
    <xf numFmtId="0" fontId="18" fillId="0" borderId="10" xfId="51" applyFont="1" applyBorder="1">
      <alignment/>
      <protection/>
    </xf>
    <xf numFmtId="0" fontId="13" fillId="25" borderId="39" xfId="51" applyFont="1" applyFill="1" applyBorder="1">
      <alignment/>
      <protection/>
    </xf>
    <xf numFmtId="3" fontId="1" fillId="0" borderId="85" xfId="51" applyNumberFormat="1" applyFont="1" applyBorder="1" applyAlignment="1">
      <alignment horizontal="right"/>
      <protection/>
    </xf>
    <xf numFmtId="3" fontId="1" fillId="0" borderId="119" xfId="51" applyNumberFormat="1" applyFont="1" applyFill="1" applyBorder="1">
      <alignment/>
      <protection/>
    </xf>
    <xf numFmtId="3" fontId="1" fillId="0" borderId="61" xfId="51" applyNumberFormat="1" applyFont="1" applyFill="1" applyBorder="1">
      <alignment/>
      <protection/>
    </xf>
    <xf numFmtId="0" fontId="3" fillId="16" borderId="39" xfId="51" applyFont="1" applyFill="1" applyBorder="1">
      <alignment/>
      <protection/>
    </xf>
    <xf numFmtId="3" fontId="1" fillId="0" borderId="87" xfId="51" applyNumberFormat="1" applyFont="1" applyBorder="1" applyAlignment="1">
      <alignment horizontal="right"/>
      <protection/>
    </xf>
    <xf numFmtId="3" fontId="1" fillId="0" borderId="87" xfId="51" applyNumberFormat="1" applyFont="1" applyFill="1" applyBorder="1" applyAlignment="1">
      <alignment horizontal="right"/>
      <protection/>
    </xf>
    <xf numFmtId="3" fontId="1" fillId="0" borderId="115" xfId="51" applyNumberFormat="1" applyFont="1" applyBorder="1" applyAlignment="1">
      <alignment horizontal="right"/>
      <protection/>
    </xf>
    <xf numFmtId="3" fontId="3" fillId="25" borderId="57" xfId="51" applyNumberFormat="1" applyFont="1" applyFill="1" applyBorder="1" applyAlignment="1">
      <alignment horizontal="center"/>
      <protection/>
    </xf>
    <xf numFmtId="3" fontId="1" fillId="0" borderId="67" xfId="51" applyNumberFormat="1" applyFont="1" applyBorder="1" applyAlignment="1">
      <alignment horizontal="center"/>
      <protection/>
    </xf>
    <xf numFmtId="3" fontId="1" fillId="0" borderId="20" xfId="51" applyNumberFormat="1" applyFont="1" applyBorder="1" applyAlignment="1">
      <alignment horizontal="center"/>
      <protection/>
    </xf>
    <xf numFmtId="3" fontId="1" fillId="0" borderId="81" xfId="51" applyNumberFormat="1" applyFont="1" applyBorder="1" applyAlignment="1">
      <alignment horizontal="center"/>
      <protection/>
    </xf>
    <xf numFmtId="3" fontId="1" fillId="0" borderId="61" xfId="51" applyNumberFormat="1" applyFont="1" applyBorder="1" applyAlignment="1">
      <alignment horizontal="right"/>
      <protection/>
    </xf>
    <xf numFmtId="3" fontId="0" fillId="0" borderId="108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94" xfId="0" applyNumberFormat="1" applyFont="1" applyBorder="1" applyAlignment="1">
      <alignment horizontal="right"/>
    </xf>
    <xf numFmtId="0" fontId="23" fillId="25" borderId="98" xfId="0" applyFont="1" applyFill="1" applyBorder="1" applyAlignment="1">
      <alignment horizontal="center"/>
    </xf>
    <xf numFmtId="0" fontId="23" fillId="25" borderId="49" xfId="0" applyFont="1" applyFill="1" applyBorder="1" applyAlignment="1">
      <alignment horizontal="center"/>
    </xf>
    <xf numFmtId="0" fontId="23" fillId="25" borderId="139" xfId="0" applyFont="1" applyFill="1" applyBorder="1" applyAlignment="1">
      <alignment horizontal="center"/>
    </xf>
    <xf numFmtId="3" fontId="0" fillId="0" borderId="118" xfId="0" applyNumberFormat="1" applyFont="1" applyBorder="1" applyAlignment="1">
      <alignment horizontal="right"/>
    </xf>
    <xf numFmtId="3" fontId="0" fillId="0" borderId="119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3" fontId="0" fillId="0" borderId="92" xfId="0" applyNumberFormat="1" applyFont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3" fontId="0" fillId="0" borderId="93" xfId="0" applyNumberFormat="1" applyFont="1" applyBorder="1" applyAlignment="1">
      <alignment horizontal="right"/>
    </xf>
    <xf numFmtId="0" fontId="23" fillId="25" borderId="36" xfId="0" applyFont="1" applyFill="1" applyBorder="1" applyAlignment="1">
      <alignment horizontal="center"/>
    </xf>
    <xf numFmtId="0" fontId="23" fillId="25" borderId="19" xfId="0" applyFont="1" applyFill="1" applyBorder="1" applyAlignment="1">
      <alignment horizontal="center"/>
    </xf>
    <xf numFmtId="0" fontId="23" fillId="25" borderId="83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3" fillId="19" borderId="78" xfId="0" applyFont="1" applyFill="1" applyBorder="1" applyAlignment="1">
      <alignment horizontal="left"/>
    </xf>
    <xf numFmtId="3" fontId="23" fillId="19" borderId="79" xfId="0" applyNumberFormat="1" applyFont="1" applyFill="1" applyBorder="1" applyAlignment="1">
      <alignment horizontal="right"/>
    </xf>
    <xf numFmtId="3" fontId="23" fillId="19" borderId="57" xfId="0" applyNumberFormat="1" applyFont="1" applyFill="1" applyBorder="1" applyAlignment="1">
      <alignment horizontal="right"/>
    </xf>
    <xf numFmtId="3" fontId="23" fillId="19" borderId="56" xfId="0" applyNumberFormat="1" applyFont="1" applyFill="1" applyBorder="1" applyAlignment="1">
      <alignment horizontal="right"/>
    </xf>
    <xf numFmtId="3" fontId="23" fillId="19" borderId="106" xfId="0" applyNumberFormat="1" applyFont="1" applyFill="1" applyBorder="1" applyAlignment="1">
      <alignment horizontal="right"/>
    </xf>
    <xf numFmtId="3" fontId="23" fillId="19" borderId="55" xfId="0" applyNumberFormat="1" applyFont="1" applyFill="1" applyBorder="1" applyAlignment="1">
      <alignment horizontal="right"/>
    </xf>
    <xf numFmtId="183" fontId="23" fillId="16" borderId="78" xfId="35" applyNumberFormat="1" applyFont="1" applyFill="1" applyBorder="1" applyAlignment="1">
      <alignment horizontal="right"/>
    </xf>
    <xf numFmtId="49" fontId="26" fillId="19" borderId="39" xfId="0" applyNumberFormat="1" applyFont="1" applyFill="1" applyBorder="1" applyAlignment="1">
      <alignment horizontal="center"/>
    </xf>
    <xf numFmtId="3" fontId="1" fillId="0" borderId="16" xfId="51" applyNumberFormat="1" applyFont="1" applyBorder="1">
      <alignment/>
      <protection/>
    </xf>
    <xf numFmtId="3" fontId="1" fillId="0" borderId="11" xfId="51" applyNumberFormat="1" applyFont="1" applyBorder="1">
      <alignment/>
      <protection/>
    </xf>
    <xf numFmtId="3" fontId="1" fillId="0" borderId="71" xfId="51" applyNumberFormat="1" applyFont="1" applyBorder="1">
      <alignment/>
      <protection/>
    </xf>
    <xf numFmtId="3" fontId="1" fillId="0" borderId="18" xfId="51" applyNumberFormat="1" applyFont="1" applyBorder="1">
      <alignment/>
      <protection/>
    </xf>
    <xf numFmtId="3" fontId="1" fillId="0" borderId="27" xfId="51" applyNumberFormat="1" applyFont="1" applyBorder="1">
      <alignment/>
      <protection/>
    </xf>
    <xf numFmtId="3" fontId="1" fillId="0" borderId="73" xfId="51" applyNumberFormat="1" applyFont="1" applyBorder="1">
      <alignment/>
      <protection/>
    </xf>
    <xf numFmtId="3" fontId="1" fillId="0" borderId="30" xfId="51" applyNumberFormat="1" applyFont="1" applyFill="1" applyBorder="1">
      <alignment/>
      <protection/>
    </xf>
    <xf numFmtId="3" fontId="1" fillId="0" borderId="12" xfId="51" applyNumberFormat="1" applyFont="1" applyFill="1" applyBorder="1">
      <alignment/>
      <protection/>
    </xf>
    <xf numFmtId="0" fontId="1" fillId="0" borderId="17" xfId="51" applyFont="1" applyFill="1" applyBorder="1">
      <alignment/>
      <protection/>
    </xf>
    <xf numFmtId="0" fontId="1" fillId="0" borderId="13" xfId="51" applyFont="1" applyFill="1" applyBorder="1">
      <alignment/>
      <protection/>
    </xf>
    <xf numFmtId="0" fontId="1" fillId="0" borderId="44" xfId="51" applyFont="1" applyFill="1" applyBorder="1">
      <alignment/>
      <protection/>
    </xf>
    <xf numFmtId="3" fontId="1" fillId="0" borderId="44" xfId="51" applyNumberFormat="1" applyFont="1" applyBorder="1">
      <alignment/>
      <protection/>
    </xf>
    <xf numFmtId="0" fontId="1" fillId="0" borderId="92" xfId="51" applyFont="1" applyFill="1" applyBorder="1">
      <alignment/>
      <protection/>
    </xf>
    <xf numFmtId="0" fontId="1" fillId="0" borderId="59" xfId="51" applyFont="1" applyFill="1" applyBorder="1">
      <alignment/>
      <protection/>
    </xf>
    <xf numFmtId="0" fontId="1" fillId="0" borderId="60" xfId="51" applyFont="1" applyFill="1" applyBorder="1">
      <alignment/>
      <protection/>
    </xf>
    <xf numFmtId="0" fontId="13" fillId="0" borderId="27" xfId="51" applyFont="1" applyBorder="1">
      <alignment/>
      <protection/>
    </xf>
    <xf numFmtId="0" fontId="3" fillId="25" borderId="78" xfId="50" applyFont="1" applyFill="1" applyBorder="1" applyAlignment="1">
      <alignment horizontal="center"/>
      <protection/>
    </xf>
    <xf numFmtId="3" fontId="3" fillId="25" borderId="78" xfId="50" applyNumberFormat="1" applyFont="1" applyFill="1" applyBorder="1">
      <alignment/>
      <protection/>
    </xf>
    <xf numFmtId="0" fontId="1" fillId="25" borderId="78" xfId="50" applyFont="1" applyFill="1" applyBorder="1">
      <alignment/>
      <protection/>
    </xf>
    <xf numFmtId="0" fontId="1" fillId="0" borderId="17" xfId="50" applyFont="1" applyBorder="1">
      <alignment/>
      <protection/>
    </xf>
    <xf numFmtId="0" fontId="3" fillId="25" borderId="78" xfId="50" applyFont="1" applyFill="1" applyBorder="1">
      <alignment/>
      <protection/>
    </xf>
    <xf numFmtId="0" fontId="3" fillId="25" borderId="40" xfId="50" applyFont="1" applyFill="1" applyBorder="1" applyAlignment="1">
      <alignment horizontal="center"/>
      <protection/>
    </xf>
    <xf numFmtId="3" fontId="1" fillId="0" borderId="16" xfId="50" applyNumberFormat="1" applyFont="1" applyBorder="1">
      <alignment/>
      <protection/>
    </xf>
    <xf numFmtId="3" fontId="1" fillId="0" borderId="71" xfId="50" applyNumberFormat="1" applyFont="1" applyBorder="1">
      <alignment/>
      <protection/>
    </xf>
    <xf numFmtId="3" fontId="3" fillId="25" borderId="40" xfId="50" applyNumberFormat="1" applyFont="1" applyFill="1" applyBorder="1">
      <alignment/>
      <protection/>
    </xf>
    <xf numFmtId="3" fontId="1" fillId="0" borderId="11" xfId="50" applyNumberFormat="1" applyFont="1" applyBorder="1">
      <alignment/>
      <protection/>
    </xf>
    <xf numFmtId="0" fontId="1" fillId="0" borderId="71" xfId="50" applyFont="1" applyBorder="1">
      <alignment/>
      <protection/>
    </xf>
    <xf numFmtId="0" fontId="1" fillId="0" borderId="13" xfId="50" applyFont="1" applyBorder="1">
      <alignment/>
      <protection/>
    </xf>
    <xf numFmtId="0" fontId="18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" fillId="0" borderId="0" xfId="50" applyFont="1" applyBorder="1" applyAlignment="1">
      <alignment horizontal="right" vertical="center"/>
      <protection/>
    </xf>
    <xf numFmtId="0" fontId="1" fillId="0" borderId="72" xfId="50" applyFont="1" applyBorder="1" applyAlignment="1">
      <alignment horizontal="right" vertical="center"/>
      <protection/>
    </xf>
    <xf numFmtId="0" fontId="30" fillId="0" borderId="0" xfId="50" applyAlignment="1">
      <alignment horizontal="right"/>
      <protection/>
    </xf>
    <xf numFmtId="4" fontId="18" fillId="0" borderId="0" xfId="0" applyNumberFormat="1" applyFont="1" applyAlignment="1">
      <alignment horizontal="right"/>
    </xf>
    <xf numFmtId="4" fontId="18" fillId="0" borderId="0" xfId="50" applyNumberFormat="1" applyFont="1" applyAlignment="1">
      <alignment horizontal="right" vertical="center"/>
      <protection/>
    </xf>
    <xf numFmtId="4" fontId="15" fillId="0" borderId="0" xfId="50" applyNumberFormat="1" applyFont="1" applyAlignment="1">
      <alignment horizontal="right" vertical="center"/>
      <protection/>
    </xf>
    <xf numFmtId="0" fontId="18" fillId="0" borderId="0" xfId="50" applyFont="1" applyAlignment="1">
      <alignment horizontal="right"/>
      <protection/>
    </xf>
    <xf numFmtId="4" fontId="43" fillId="0" borderId="0" xfId="0" applyNumberFormat="1" applyFont="1" applyBorder="1" applyAlignment="1">
      <alignment horizontal="right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/>
    </xf>
    <xf numFmtId="0" fontId="18" fillId="0" borderId="0" xfId="51" applyFont="1" applyFill="1" applyBorder="1">
      <alignment/>
      <protection/>
    </xf>
    <xf numFmtId="0" fontId="18" fillId="0" borderId="19" xfId="51" applyFont="1" applyFill="1" applyBorder="1">
      <alignment/>
      <protection/>
    </xf>
    <xf numFmtId="0" fontId="18" fillId="0" borderId="83" xfId="51" applyFont="1" applyFill="1" applyBorder="1">
      <alignment/>
      <protection/>
    </xf>
    <xf numFmtId="0" fontId="18" fillId="0" borderId="62" xfId="51" applyFont="1" applyFill="1" applyBorder="1">
      <alignment/>
      <protection/>
    </xf>
    <xf numFmtId="0" fontId="18" fillId="0" borderId="10" xfId="51" applyFont="1" applyFill="1" applyBorder="1">
      <alignment/>
      <protection/>
    </xf>
    <xf numFmtId="3" fontId="3" fillId="16" borderId="11" xfId="0" applyNumberFormat="1" applyFont="1" applyFill="1" applyBorder="1" applyAlignment="1">
      <alignment horizontal="left"/>
    </xf>
    <xf numFmtId="0" fontId="1" fillId="16" borderId="11" xfId="0" applyFont="1" applyFill="1" applyBorder="1" applyAlignment="1">
      <alignment/>
    </xf>
    <xf numFmtId="3" fontId="1" fillId="0" borderId="84" xfId="51" applyNumberFormat="1" applyFont="1" applyFill="1" applyBorder="1" applyAlignment="1">
      <alignment horizontal="right" vertical="center"/>
      <protection/>
    </xf>
    <xf numFmtId="3" fontId="1" fillId="0" borderId="10" xfId="51" applyNumberFormat="1" applyFont="1" applyFill="1" applyBorder="1" applyAlignment="1">
      <alignment horizontal="right" vertical="center"/>
      <protection/>
    </xf>
    <xf numFmtId="3" fontId="1" fillId="0" borderId="20" xfId="51" applyNumberFormat="1" applyFont="1" applyFill="1" applyBorder="1" applyAlignment="1">
      <alignment horizontal="right" vertical="center"/>
      <protection/>
    </xf>
    <xf numFmtId="0" fontId="3" fillId="0" borderId="0" xfId="51" applyFont="1" applyFill="1" applyBorder="1" applyAlignment="1">
      <alignment horizontal="center"/>
      <protection/>
    </xf>
    <xf numFmtId="0" fontId="3" fillId="25" borderId="36" xfId="51" applyFont="1" applyFill="1" applyBorder="1" applyAlignment="1">
      <alignment horizontal="center" vertical="center" wrapText="1"/>
      <protection/>
    </xf>
    <xf numFmtId="0" fontId="3" fillId="25" borderId="86" xfId="51" applyFont="1" applyFill="1" applyBorder="1" applyAlignment="1">
      <alignment horizontal="center" vertical="center" wrapText="1"/>
      <protection/>
    </xf>
    <xf numFmtId="0" fontId="3" fillId="25" borderId="83" xfId="51" applyFont="1" applyFill="1" applyBorder="1" applyAlignment="1">
      <alignment horizontal="center" vertical="center" wrapText="1"/>
      <protection/>
    </xf>
    <xf numFmtId="0" fontId="3" fillId="25" borderId="85" xfId="5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right"/>
      <protection/>
    </xf>
    <xf numFmtId="3" fontId="1" fillId="0" borderId="65" xfId="51" applyNumberFormat="1" applyFont="1" applyFill="1" applyBorder="1" applyAlignment="1">
      <alignment horizontal="right" vertical="center"/>
      <protection/>
    </xf>
    <xf numFmtId="3" fontId="1" fillId="0" borderId="19" xfId="51" applyNumberFormat="1" applyFont="1" applyFill="1" applyBorder="1" applyAlignment="1">
      <alignment horizontal="right" vertical="center"/>
      <protection/>
    </xf>
    <xf numFmtId="0" fontId="15" fillId="0" borderId="0" xfId="48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23" fillId="25" borderId="62" xfId="0" applyFont="1" applyFill="1" applyBorder="1" applyAlignment="1">
      <alignment horizontal="center"/>
    </xf>
    <xf numFmtId="0" fontId="23" fillId="25" borderId="73" xfId="0" applyFont="1" applyFill="1" applyBorder="1" applyAlignment="1">
      <alignment horizontal="center"/>
    </xf>
    <xf numFmtId="0" fontId="23" fillId="25" borderId="65" xfId="0" applyFont="1" applyFill="1" applyBorder="1" applyAlignment="1">
      <alignment horizontal="center"/>
    </xf>
    <xf numFmtId="0" fontId="15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4" fillId="0" borderId="0" xfId="50" applyFont="1" applyAlignment="1">
      <alignment horizontal="center"/>
      <protection/>
    </xf>
    <xf numFmtId="0" fontId="3" fillId="25" borderId="39" xfId="51" applyFont="1" applyFill="1" applyBorder="1" applyAlignment="1">
      <alignment horizontal="center"/>
      <protection/>
    </xf>
    <xf numFmtId="0" fontId="3" fillId="25" borderId="80" xfId="51" applyFont="1" applyFill="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" fillId="25" borderId="40" xfId="51" applyFont="1" applyFill="1" applyBorder="1" applyAlignment="1">
      <alignment horizontal="center"/>
      <protection/>
    </xf>
    <xf numFmtId="3" fontId="1" fillId="0" borderId="83" xfId="51" applyNumberFormat="1" applyFont="1" applyFill="1" applyBorder="1" applyAlignment="1">
      <alignment horizontal="right" vertical="center"/>
      <protection/>
    </xf>
    <xf numFmtId="3" fontId="1" fillId="0" borderId="85" xfId="51" applyNumberFormat="1" applyFont="1" applyFill="1" applyBorder="1" applyAlignment="1">
      <alignment horizontal="right" vertical="center"/>
      <protection/>
    </xf>
    <xf numFmtId="3" fontId="1" fillId="0" borderId="62" xfId="51" applyNumberFormat="1" applyFont="1" applyFill="1" applyBorder="1" applyAlignment="1">
      <alignment horizontal="right" vertical="center"/>
      <protection/>
    </xf>
    <xf numFmtId="0" fontId="1" fillId="0" borderId="0" xfId="51" applyFont="1" applyFill="1" applyAlignment="1">
      <alignment horizontal="right"/>
      <protection/>
    </xf>
    <xf numFmtId="0" fontId="18" fillId="0" borderId="0" xfId="0" applyFont="1" applyAlignment="1">
      <alignment horizontal="right"/>
    </xf>
    <xf numFmtId="0" fontId="1" fillId="0" borderId="0" xfId="50" applyFont="1" applyAlignment="1">
      <alignment horizontal="right"/>
      <protection/>
    </xf>
    <xf numFmtId="0" fontId="3" fillId="25" borderId="55" xfId="50" applyFont="1" applyFill="1" applyBorder="1" applyAlignment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4" fillId="0" borderId="0" xfId="50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25" borderId="40" xfId="50" applyFont="1" applyFill="1" applyBorder="1" applyAlignment="1">
      <alignment horizontal="left" vertical="center" indent="1"/>
      <protection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25" borderId="36" xfId="0" applyFont="1" applyFill="1" applyBorder="1" applyAlignment="1">
      <alignment horizontal="center" vertical="center" wrapText="1"/>
    </xf>
    <xf numFmtId="0" fontId="15" fillId="25" borderId="83" xfId="0" applyFont="1" applyFill="1" applyBorder="1" applyAlignment="1">
      <alignment horizontal="center" vertical="center" wrapText="1"/>
    </xf>
    <xf numFmtId="4" fontId="15" fillId="25" borderId="38" xfId="0" applyNumberFormat="1" applyFont="1" applyFill="1" applyBorder="1" applyAlignment="1">
      <alignment horizontal="center" vertical="center" wrapText="1"/>
    </xf>
    <xf numFmtId="4" fontId="15" fillId="25" borderId="82" xfId="0" applyNumberFormat="1" applyFont="1" applyFill="1" applyBorder="1" applyAlignment="1">
      <alignment horizontal="center" vertical="center" wrapText="1"/>
    </xf>
    <xf numFmtId="4" fontId="15" fillId="25" borderId="86" xfId="0" applyNumberFormat="1" applyFont="1" applyFill="1" applyBorder="1" applyAlignment="1">
      <alignment horizontal="center" vertical="center" wrapText="1"/>
    </xf>
    <xf numFmtId="4" fontId="15" fillId="25" borderId="85" xfId="0" applyNumberFormat="1" applyFont="1" applyFill="1" applyBorder="1" applyAlignment="1">
      <alignment horizontal="center" vertical="center" wrapText="1"/>
    </xf>
    <xf numFmtId="4" fontId="15" fillId="0" borderId="0" xfId="50" applyNumberFormat="1" applyFont="1" applyAlignment="1">
      <alignment horizontal="center" vertical="center"/>
      <protection/>
    </xf>
    <xf numFmtId="4" fontId="46" fillId="0" borderId="0" xfId="50" applyNumberFormat="1" applyFont="1" applyAlignment="1">
      <alignment horizontal="center" vertical="center"/>
      <protection/>
    </xf>
    <xf numFmtId="0" fontId="13" fillId="25" borderId="118" xfId="50" applyFont="1" applyFill="1" applyBorder="1" applyAlignment="1">
      <alignment horizontal="center" vertical="center"/>
      <protection/>
    </xf>
    <xf numFmtId="0" fontId="13" fillId="25" borderId="51" xfId="50" applyFont="1" applyFill="1" applyBorder="1" applyAlignment="1">
      <alignment horizontal="center" vertical="center"/>
      <protection/>
    </xf>
    <xf numFmtId="0" fontId="13" fillId="25" borderId="63" xfId="50" applyFont="1" applyFill="1" applyBorder="1" applyAlignment="1">
      <alignment horizontal="center" vertical="center"/>
      <protection/>
    </xf>
    <xf numFmtId="0" fontId="13" fillId="25" borderId="107" xfId="50" applyFont="1" applyFill="1" applyBorder="1" applyAlignment="1">
      <alignment horizontal="center" vertical="center"/>
      <protection/>
    </xf>
    <xf numFmtId="4" fontId="13" fillId="25" borderId="140" xfId="50" applyNumberFormat="1" applyFont="1" applyFill="1" applyBorder="1" applyAlignment="1">
      <alignment horizontal="center" vertical="center"/>
      <protection/>
    </xf>
    <xf numFmtId="4" fontId="13" fillId="25" borderId="141" xfId="50" applyNumberFormat="1" applyFont="1" applyFill="1" applyBorder="1" applyAlignment="1">
      <alignment horizontal="center" vertical="center"/>
      <protection/>
    </xf>
    <xf numFmtId="4" fontId="13" fillId="25" borderId="108" xfId="50" applyNumberFormat="1" applyFont="1" applyFill="1" applyBorder="1" applyAlignment="1">
      <alignment horizontal="center"/>
      <protection/>
    </xf>
    <xf numFmtId="4" fontId="13" fillId="25" borderId="64" xfId="50" applyNumberFormat="1" applyFont="1" applyFill="1" applyBorder="1" applyAlignment="1">
      <alignment horizontal="center"/>
      <protection/>
    </xf>
    <xf numFmtId="4" fontId="13" fillId="25" borderId="119" xfId="50" applyNumberFormat="1" applyFont="1" applyFill="1" applyBorder="1" applyAlignment="1">
      <alignment horizontal="center"/>
      <protection/>
    </xf>
    <xf numFmtId="0" fontId="13" fillId="25" borderId="118" xfId="50" applyFont="1" applyFill="1" applyBorder="1" applyAlignment="1">
      <alignment horizontal="center" vertical="center"/>
      <protection/>
    </xf>
    <xf numFmtId="0" fontId="13" fillId="25" borderId="51" xfId="50" applyFont="1" applyFill="1" applyBorder="1" applyAlignment="1">
      <alignment horizontal="center" vertical="center"/>
      <protection/>
    </xf>
    <xf numFmtId="0" fontId="13" fillId="25" borderId="63" xfId="50" applyFont="1" applyFill="1" applyBorder="1" applyAlignment="1">
      <alignment horizontal="center" vertical="center"/>
      <protection/>
    </xf>
    <xf numFmtId="0" fontId="13" fillId="25" borderId="107" xfId="50" applyFont="1" applyFill="1" applyBorder="1" applyAlignment="1">
      <alignment horizontal="center" vertical="center"/>
      <protection/>
    </xf>
    <xf numFmtId="4" fontId="13" fillId="25" borderId="140" xfId="50" applyNumberFormat="1" applyFont="1" applyFill="1" applyBorder="1" applyAlignment="1">
      <alignment horizontal="center" vertical="center"/>
      <protection/>
    </xf>
    <xf numFmtId="4" fontId="13" fillId="25" borderId="141" xfId="50" applyNumberFormat="1" applyFont="1" applyFill="1" applyBorder="1" applyAlignment="1">
      <alignment horizontal="center" vertical="center"/>
      <protection/>
    </xf>
    <xf numFmtId="4" fontId="13" fillId="25" borderId="121" xfId="50" applyNumberFormat="1" applyFont="1" applyFill="1" applyBorder="1" applyAlignment="1">
      <alignment horizontal="center"/>
      <protection/>
    </xf>
    <xf numFmtId="4" fontId="13" fillId="25" borderId="64" xfId="50" applyNumberFormat="1" applyFont="1" applyFill="1" applyBorder="1" applyAlignment="1">
      <alignment horizontal="center"/>
      <protection/>
    </xf>
    <xf numFmtId="4" fontId="13" fillId="25" borderId="119" xfId="50" applyNumberFormat="1" applyFont="1" applyFill="1" applyBorder="1" applyAlignment="1">
      <alignment horizontal="center"/>
      <protection/>
    </xf>
    <xf numFmtId="4" fontId="46" fillId="25" borderId="0" xfId="0" applyNumberFormat="1" applyFont="1" applyFill="1" applyBorder="1" applyAlignment="1">
      <alignment horizontal="center" vertical="center"/>
    </xf>
    <xf numFmtId="179" fontId="15" fillId="0" borderId="0" xfId="35" applyFont="1" applyAlignment="1">
      <alignment horizontal="center"/>
    </xf>
    <xf numFmtId="0" fontId="13" fillId="25" borderId="38" xfId="0" applyFont="1" applyFill="1" applyBorder="1" applyAlignment="1">
      <alignment horizontal="center" vertical="center" wrapText="1"/>
    </xf>
    <xf numFmtId="0" fontId="13" fillId="25" borderId="82" xfId="0" applyFont="1" applyFill="1" applyBorder="1" applyAlignment="1">
      <alignment horizontal="center" vertical="center" wrapText="1"/>
    </xf>
    <xf numFmtId="3" fontId="13" fillId="25" borderId="38" xfId="0" applyNumberFormat="1" applyFont="1" applyFill="1" applyBorder="1" applyAlignment="1">
      <alignment horizontal="center" vertical="center" wrapText="1"/>
    </xf>
    <xf numFmtId="3" fontId="13" fillId="25" borderId="8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indent="1"/>
    </xf>
    <xf numFmtId="0" fontId="46" fillId="0" borderId="0" xfId="0" applyFont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y 2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e_Hárok4" xfId="48"/>
    <cellStyle name="normálne_Hárok5" xfId="49"/>
    <cellStyle name="normální 2" xfId="50"/>
    <cellStyle name="normální 3" xfId="51"/>
    <cellStyle name="Percent" xfId="52"/>
    <cellStyle name="Followed Hyperlink" xfId="53"/>
    <cellStyle name="Poznámka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zmena%20rozpo&#269;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okej"/>
      <sheetName val="príjmy zmena"/>
      <sheetName val="Hárok1"/>
      <sheetName val="Hárok3"/>
      <sheetName val="výdavky zmena"/>
    </sheetNames>
    <sheetDataSet>
      <sheetData sheetId="2">
        <row r="83">
          <cell r="F83">
            <v>312923</v>
          </cell>
        </row>
        <row r="84">
          <cell r="F84">
            <v>480901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294"/>
  <sheetViews>
    <sheetView view="pageBreakPreview" zoomScaleSheetLayoutView="100" workbookViewId="0" topLeftCell="A37">
      <selection activeCell="F57" sqref="F57"/>
    </sheetView>
  </sheetViews>
  <sheetFormatPr defaultColWidth="9.00390625" defaultRowHeight="12.75"/>
  <cols>
    <col min="1" max="1" width="9.375" style="498" customWidth="1"/>
    <col min="2" max="2" width="61.125" style="496" customWidth="1"/>
    <col min="3" max="3" width="14.875" style="497" customWidth="1"/>
    <col min="4" max="4" width="15.00390625" style="497" hidden="1" customWidth="1"/>
    <col min="5" max="6" width="14.875" style="497" customWidth="1"/>
    <col min="7" max="7" width="9.125" style="496" customWidth="1"/>
    <col min="8" max="8" width="10.25390625" style="496" bestFit="1" customWidth="1"/>
    <col min="9" max="16384" width="9.125" style="496" customWidth="1"/>
  </cols>
  <sheetData>
    <row r="1" spans="1:6" s="502" customFormat="1" ht="15">
      <c r="A1" s="501"/>
      <c r="B1" s="500"/>
      <c r="C1" s="499"/>
      <c r="D1" s="499"/>
      <c r="E1" s="499"/>
      <c r="F1" s="499"/>
    </row>
    <row r="2" spans="1:6" s="178" customFormat="1" ht="20.25">
      <c r="A2" s="5" t="s">
        <v>651</v>
      </c>
      <c r="B2" s="6"/>
      <c r="C2" s="6"/>
      <c r="D2" s="7"/>
      <c r="E2" s="8"/>
      <c r="F2" s="8" t="s">
        <v>562</v>
      </c>
    </row>
    <row r="3" spans="1:6" s="502" customFormat="1" ht="15.75">
      <c r="A3" s="501"/>
      <c r="B3" s="500"/>
      <c r="C3" s="516"/>
      <c r="D3" s="516"/>
      <c r="E3" s="493"/>
      <c r="F3" s="493" t="s">
        <v>386</v>
      </c>
    </row>
    <row r="4" spans="1:6" s="502" customFormat="1" ht="16.5" thickBot="1">
      <c r="A4" s="599"/>
      <c r="B4" s="500"/>
      <c r="C4" s="493"/>
      <c r="D4" s="493"/>
      <c r="E4" s="9"/>
      <c r="F4" s="8" t="s">
        <v>777</v>
      </c>
    </row>
    <row r="5" spans="1:6" s="502" customFormat="1" ht="51.75" customHeight="1" thickBot="1">
      <c r="A5" s="545" t="s">
        <v>554</v>
      </c>
      <c r="B5" s="598"/>
      <c r="C5" s="282" t="s">
        <v>388</v>
      </c>
      <c r="D5" s="282" t="s">
        <v>389</v>
      </c>
      <c r="E5" s="283" t="s">
        <v>390</v>
      </c>
      <c r="F5" s="282" t="s">
        <v>649</v>
      </c>
    </row>
    <row r="6" spans="1:6" s="502" customFormat="1" ht="15.75" customHeight="1">
      <c r="A6" s="579" t="s">
        <v>563</v>
      </c>
      <c r="B6" s="590"/>
      <c r="C6" s="1059">
        <f>C7+C8</f>
        <v>668900</v>
      </c>
      <c r="D6" s="1059">
        <f>D7+D8</f>
        <v>319756</v>
      </c>
      <c r="E6" s="1060">
        <f>E7+E8</f>
        <v>668900</v>
      </c>
      <c r="F6" s="1059">
        <f>F7+F8</f>
        <v>658203</v>
      </c>
    </row>
    <row r="7" spans="1:6" s="584" customFormat="1" ht="15.75" customHeight="1">
      <c r="A7" s="1052" t="s">
        <v>564</v>
      </c>
      <c r="B7" s="581" t="s">
        <v>565</v>
      </c>
      <c r="C7" s="585">
        <f>536500+2400</f>
        <v>538900</v>
      </c>
      <c r="D7" s="585">
        <v>262886</v>
      </c>
      <c r="E7" s="586">
        <f>536500+2400</f>
        <v>538900</v>
      </c>
      <c r="F7" s="585">
        <v>530361</v>
      </c>
    </row>
    <row r="8" spans="1:6" s="176" customFormat="1" ht="15.75" customHeight="1">
      <c r="A8" s="1042">
        <v>121</v>
      </c>
      <c r="B8" s="108" t="s">
        <v>566</v>
      </c>
      <c r="C8" s="109">
        <f>C9+C10+C11</f>
        <v>130000</v>
      </c>
      <c r="D8" s="109">
        <f>SUM(D9:D11)</f>
        <v>56870</v>
      </c>
      <c r="E8" s="177">
        <f>E9+E10+E11</f>
        <v>130000</v>
      </c>
      <c r="F8" s="109">
        <f>F9+F10+F11</f>
        <v>127842</v>
      </c>
    </row>
    <row r="9" spans="1:6" s="502" customFormat="1" ht="15.75" customHeight="1">
      <c r="A9" s="1043">
        <v>121001</v>
      </c>
      <c r="B9" s="581" t="s">
        <v>567</v>
      </c>
      <c r="C9" s="585">
        <v>19000</v>
      </c>
      <c r="D9" s="585">
        <v>4072</v>
      </c>
      <c r="E9" s="586">
        <v>19000</v>
      </c>
      <c r="F9" s="585">
        <v>8728</v>
      </c>
    </row>
    <row r="10" spans="1:6" s="502" customFormat="1" ht="15.75" customHeight="1">
      <c r="A10" s="1043">
        <v>121002</v>
      </c>
      <c r="B10" s="581" t="s">
        <v>568</v>
      </c>
      <c r="C10" s="582">
        <v>105000</v>
      </c>
      <c r="D10" s="582">
        <v>50342</v>
      </c>
      <c r="E10" s="583">
        <v>105000</v>
      </c>
      <c r="F10" s="582">
        <v>114791</v>
      </c>
    </row>
    <row r="11" spans="1:6" s="502" customFormat="1" ht="15.75" customHeight="1">
      <c r="A11" s="1046">
        <v>121003</v>
      </c>
      <c r="B11" s="581" t="s">
        <v>569</v>
      </c>
      <c r="C11" s="582">
        <v>6000</v>
      </c>
      <c r="D11" s="582">
        <v>2456</v>
      </c>
      <c r="E11" s="583">
        <v>6000</v>
      </c>
      <c r="F11" s="582">
        <v>4323</v>
      </c>
    </row>
    <row r="12" spans="1:6" s="502" customFormat="1" ht="15.75" customHeight="1">
      <c r="A12" s="1044" t="s">
        <v>570</v>
      </c>
      <c r="B12" s="592"/>
      <c r="C12" s="1061">
        <f>SUM(C13:C18)</f>
        <v>26450</v>
      </c>
      <c r="D12" s="1061">
        <f>SUM(D13:D19)</f>
        <v>13844</v>
      </c>
      <c r="E12" s="1062">
        <f>SUM(E13:E19)</f>
        <v>26950</v>
      </c>
      <c r="F12" s="1061">
        <f>SUM(F13:F19)</f>
        <v>27843</v>
      </c>
    </row>
    <row r="13" spans="1:8" s="584" customFormat="1" ht="15.75" customHeight="1">
      <c r="A13" s="1052" t="s">
        <v>571</v>
      </c>
      <c r="B13" s="581" t="s">
        <v>572</v>
      </c>
      <c r="C13" s="582">
        <v>1700</v>
      </c>
      <c r="D13" s="582">
        <v>735</v>
      </c>
      <c r="E13" s="583">
        <v>1700</v>
      </c>
      <c r="F13" s="582">
        <v>1228</v>
      </c>
      <c r="H13" s="597">
        <f>SUM(F13:F18)</f>
        <v>27584</v>
      </c>
    </row>
    <row r="14" spans="1:6" s="502" customFormat="1" ht="15.75" customHeight="1">
      <c r="A14" s="1045" t="s">
        <v>573</v>
      </c>
      <c r="B14" s="581" t="s">
        <v>574</v>
      </c>
      <c r="C14" s="585">
        <v>600</v>
      </c>
      <c r="D14" s="585">
        <v>200</v>
      </c>
      <c r="E14" s="586">
        <v>600</v>
      </c>
      <c r="F14" s="585">
        <v>200</v>
      </c>
    </row>
    <row r="15" spans="1:6" s="502" customFormat="1" ht="15.75" customHeight="1">
      <c r="A15" s="1045" t="s">
        <v>575</v>
      </c>
      <c r="B15" s="581" t="s">
        <v>576</v>
      </c>
      <c r="C15" s="585">
        <v>300</v>
      </c>
      <c r="D15" s="585">
        <v>217</v>
      </c>
      <c r="E15" s="586">
        <v>300</v>
      </c>
      <c r="F15" s="585">
        <v>251</v>
      </c>
    </row>
    <row r="16" spans="1:6" s="502" customFormat="1" ht="15.75" customHeight="1">
      <c r="A16" s="1045" t="s">
        <v>577</v>
      </c>
      <c r="B16" s="581" t="s">
        <v>578</v>
      </c>
      <c r="C16" s="585">
        <v>700</v>
      </c>
      <c r="D16" s="585">
        <v>546</v>
      </c>
      <c r="E16" s="586">
        <v>700</v>
      </c>
      <c r="F16" s="585">
        <v>701</v>
      </c>
    </row>
    <row r="17" spans="1:6" s="502" customFormat="1" ht="15.75" customHeight="1">
      <c r="A17" s="1045" t="s">
        <v>579</v>
      </c>
      <c r="B17" s="581" t="s">
        <v>580</v>
      </c>
      <c r="C17" s="585">
        <v>7200</v>
      </c>
      <c r="D17" s="585">
        <v>2876</v>
      </c>
      <c r="E17" s="586">
        <v>7200</v>
      </c>
      <c r="F17" s="585">
        <v>5960</v>
      </c>
    </row>
    <row r="18" spans="1:6" s="502" customFormat="1" ht="15.75" customHeight="1">
      <c r="A18" s="1045" t="s">
        <v>581</v>
      </c>
      <c r="B18" s="1065" t="s">
        <v>246</v>
      </c>
      <c r="C18" s="585">
        <v>15950</v>
      </c>
      <c r="D18" s="585">
        <v>9025</v>
      </c>
      <c r="E18" s="586">
        <v>15950</v>
      </c>
      <c r="F18" s="585">
        <v>19244</v>
      </c>
    </row>
    <row r="19" spans="1:6" s="502" customFormat="1" ht="15.75" customHeight="1">
      <c r="A19" s="1053">
        <v>139</v>
      </c>
      <c r="B19" s="500" t="s">
        <v>582</v>
      </c>
      <c r="C19" s="595">
        <v>0</v>
      </c>
      <c r="D19" s="595">
        <v>245</v>
      </c>
      <c r="E19" s="596">
        <v>500</v>
      </c>
      <c r="F19" s="595">
        <v>259</v>
      </c>
    </row>
    <row r="20" spans="1:6" s="502" customFormat="1" ht="15.75" customHeight="1">
      <c r="A20" s="1044" t="s">
        <v>583</v>
      </c>
      <c r="B20" s="592"/>
      <c r="C20" s="1063">
        <f>SUM(C21:C24)</f>
        <v>28525</v>
      </c>
      <c r="D20" s="1063">
        <f>SUM(D21:D24)</f>
        <v>49379</v>
      </c>
      <c r="E20" s="1064">
        <f>SUM(E21:E24)</f>
        <v>71750</v>
      </c>
      <c r="F20" s="1063">
        <f>SUM(F21:F24)</f>
        <v>80760</v>
      </c>
    </row>
    <row r="21" spans="1:6" s="594" customFormat="1" ht="15.75" customHeight="1">
      <c r="A21" s="1054">
        <v>211003</v>
      </c>
      <c r="B21" s="581" t="s">
        <v>584</v>
      </c>
      <c r="C21" s="582">
        <v>6000</v>
      </c>
      <c r="D21" s="582">
        <v>5453</v>
      </c>
      <c r="E21" s="583">
        <v>6000</v>
      </c>
      <c r="F21" s="582">
        <v>7653</v>
      </c>
    </row>
    <row r="22" spans="1:6" s="502" customFormat="1" ht="15.75" customHeight="1">
      <c r="A22" s="1046">
        <v>212002</v>
      </c>
      <c r="B22" s="572" t="s">
        <v>585</v>
      </c>
      <c r="C22" s="585">
        <v>12000</v>
      </c>
      <c r="D22" s="585">
        <v>6348</v>
      </c>
      <c r="E22" s="586">
        <v>12000</v>
      </c>
      <c r="F22" s="585">
        <v>9436</v>
      </c>
    </row>
    <row r="23" spans="1:6" s="502" customFormat="1" ht="15.75" customHeight="1">
      <c r="A23" s="1043">
        <v>212003</v>
      </c>
      <c r="B23" s="1065" t="s">
        <v>247</v>
      </c>
      <c r="C23" s="582">
        <v>7600</v>
      </c>
      <c r="D23" s="582">
        <v>19605</v>
      </c>
      <c r="E23" s="583">
        <f>C23+26200-50</f>
        <v>33750</v>
      </c>
      <c r="F23" s="582">
        <v>28788</v>
      </c>
    </row>
    <row r="24" spans="1:6" s="502" customFormat="1" ht="15.75" customHeight="1">
      <c r="A24" s="1046">
        <v>212003</v>
      </c>
      <c r="B24" s="581" t="s">
        <v>586</v>
      </c>
      <c r="C24" s="521">
        <v>2925</v>
      </c>
      <c r="D24" s="521">
        <v>17973</v>
      </c>
      <c r="E24" s="593">
        <v>20000</v>
      </c>
      <c r="F24" s="521">
        <v>34883</v>
      </c>
    </row>
    <row r="25" spans="1:6" s="502" customFormat="1" ht="15.75" customHeight="1">
      <c r="A25" s="1067" t="s">
        <v>250</v>
      </c>
      <c r="B25" s="592"/>
      <c r="C25" s="1061">
        <f>SUM(C26:C31)</f>
        <v>408277</v>
      </c>
      <c r="D25" s="1061">
        <f>SUM(D26:D31)</f>
        <v>291000</v>
      </c>
      <c r="E25" s="1062">
        <f>SUM(E26:E31)</f>
        <v>408277</v>
      </c>
      <c r="F25" s="1061">
        <f>SUM(F26:F31)</f>
        <v>542800</v>
      </c>
    </row>
    <row r="26" spans="1:6" s="502" customFormat="1" ht="15.75" customHeight="1">
      <c r="A26" s="1055">
        <v>221</v>
      </c>
      <c r="B26" s="581" t="s">
        <v>587</v>
      </c>
      <c r="C26" s="585">
        <v>11645</v>
      </c>
      <c r="D26" s="585">
        <f>2278-720</f>
        <v>1558</v>
      </c>
      <c r="E26" s="586">
        <v>11645</v>
      </c>
      <c r="F26" s="585">
        <v>5981</v>
      </c>
    </row>
    <row r="27" spans="1:6" s="502" customFormat="1" ht="15.75" customHeight="1">
      <c r="A27" s="1043">
        <v>221005</v>
      </c>
      <c r="B27" s="581" t="s">
        <v>588</v>
      </c>
      <c r="C27" s="585">
        <v>17000</v>
      </c>
      <c r="D27" s="585">
        <f>2340+720</f>
        <v>3060</v>
      </c>
      <c r="E27" s="586">
        <v>17000</v>
      </c>
      <c r="F27" s="585">
        <v>21691</v>
      </c>
    </row>
    <row r="28" spans="1:6" s="502" customFormat="1" ht="15.75" customHeight="1">
      <c r="A28" s="1043">
        <v>222</v>
      </c>
      <c r="B28" s="581" t="s">
        <v>652</v>
      </c>
      <c r="C28" s="585">
        <v>0</v>
      </c>
      <c r="D28" s="585"/>
      <c r="E28" s="586">
        <v>0</v>
      </c>
      <c r="F28" s="585">
        <v>6283</v>
      </c>
    </row>
    <row r="29" spans="1:6" s="502" customFormat="1" ht="15.75" customHeight="1">
      <c r="A29" s="1043">
        <v>223</v>
      </c>
      <c r="B29" s="1065" t="s">
        <v>248</v>
      </c>
      <c r="C29" s="585">
        <v>12425</v>
      </c>
      <c r="D29" s="585">
        <v>10422</v>
      </c>
      <c r="E29" s="586">
        <v>12425</v>
      </c>
      <c r="F29" s="585">
        <v>22172</v>
      </c>
    </row>
    <row r="30" spans="1:6" s="502" customFormat="1" ht="15.75" customHeight="1">
      <c r="A30" s="1047"/>
      <c r="B30" s="591" t="s">
        <v>589</v>
      </c>
      <c r="C30" s="585">
        <v>367087</v>
      </c>
      <c r="D30" s="585">
        <v>275888</v>
      </c>
      <c r="E30" s="586">
        <f>C30</f>
        <v>367087</v>
      </c>
      <c r="F30" s="585">
        <v>486539</v>
      </c>
    </row>
    <row r="31" spans="1:6" s="502" customFormat="1" ht="15.75" customHeight="1">
      <c r="A31" s="1046">
        <v>229005</v>
      </c>
      <c r="B31" s="591" t="s">
        <v>590</v>
      </c>
      <c r="C31" s="582">
        <v>120</v>
      </c>
      <c r="D31" s="582">
        <v>72</v>
      </c>
      <c r="E31" s="583">
        <v>120</v>
      </c>
      <c r="F31" s="582">
        <v>134</v>
      </c>
    </row>
    <row r="32" spans="1:6" s="502" customFormat="1" ht="15.75" customHeight="1">
      <c r="A32" s="1044" t="s">
        <v>591</v>
      </c>
      <c r="B32" s="590"/>
      <c r="C32" s="1061">
        <f>C33</f>
        <v>1600</v>
      </c>
      <c r="D32" s="1061">
        <f>D33</f>
        <v>598</v>
      </c>
      <c r="E32" s="1062">
        <f>E33</f>
        <v>2000</v>
      </c>
      <c r="F32" s="1061">
        <f>F33</f>
        <v>1859</v>
      </c>
    </row>
    <row r="33" spans="1:6" s="589" customFormat="1" ht="15.75" customHeight="1">
      <c r="A33" s="1056">
        <v>240</v>
      </c>
      <c r="B33" s="581" t="s">
        <v>592</v>
      </c>
      <c r="C33" s="582">
        <v>1600</v>
      </c>
      <c r="D33" s="582">
        <f>159+439</f>
        <v>598</v>
      </c>
      <c r="E33" s="583">
        <v>2000</v>
      </c>
      <c r="F33" s="582">
        <v>1859</v>
      </c>
    </row>
    <row r="34" spans="1:6" s="502" customFormat="1" ht="15.75" customHeight="1">
      <c r="A34" s="1044" t="s">
        <v>269</v>
      </c>
      <c r="B34" s="588"/>
      <c r="C34" s="1059">
        <f>C35+C36</f>
        <v>12000</v>
      </c>
      <c r="D34" s="587">
        <f>SUM(D35:D37)</f>
        <v>19832</v>
      </c>
      <c r="E34" s="1060">
        <f>SUM(E35:E37)</f>
        <v>13500</v>
      </c>
      <c r="F34" s="1059">
        <f>SUM(F35:F37)</f>
        <v>14855</v>
      </c>
    </row>
    <row r="35" spans="1:6" s="584" customFormat="1" ht="15.75" customHeight="1">
      <c r="A35" s="1057">
        <v>292008</v>
      </c>
      <c r="B35" s="581" t="s">
        <v>593</v>
      </c>
      <c r="C35" s="585">
        <v>4000</v>
      </c>
      <c r="D35" s="585">
        <v>3677</v>
      </c>
      <c r="E35" s="586">
        <v>5500</v>
      </c>
      <c r="F35" s="585">
        <v>7537</v>
      </c>
    </row>
    <row r="36" spans="1:6" s="502" customFormat="1" ht="15.75" customHeight="1">
      <c r="A36" s="1058" t="s">
        <v>778</v>
      </c>
      <c r="B36" s="581" t="s">
        <v>270</v>
      </c>
      <c r="C36" s="582">
        <v>8000</v>
      </c>
      <c r="D36" s="582">
        <v>1190</v>
      </c>
      <c r="E36" s="583">
        <v>8000</v>
      </c>
      <c r="F36" s="582">
        <v>3461</v>
      </c>
    </row>
    <row r="37" spans="1:6" s="502" customFormat="1" ht="15.75" customHeight="1">
      <c r="A37" s="1057">
        <v>29</v>
      </c>
      <c r="B37" s="581" t="s">
        <v>594</v>
      </c>
      <c r="C37" s="527">
        <v>0</v>
      </c>
      <c r="D37" s="527">
        <v>14965</v>
      </c>
      <c r="E37" s="580">
        <v>0</v>
      </c>
      <c r="F37" s="527">
        <v>3857</v>
      </c>
    </row>
    <row r="38" spans="1:6" s="502" customFormat="1" ht="15.75" customHeight="1">
      <c r="A38" s="1044" t="s">
        <v>595</v>
      </c>
      <c r="B38" s="578"/>
      <c r="C38" s="576">
        <f>SUM(C39:C44)</f>
        <v>213975</v>
      </c>
      <c r="D38" s="576">
        <f>SUM(D39:D53)</f>
        <v>117126</v>
      </c>
      <c r="E38" s="577">
        <f>SUM(E39:E53)</f>
        <v>366933</v>
      </c>
      <c r="F38" s="576">
        <f>SUM(F39:F53)</f>
        <v>412994</v>
      </c>
    </row>
    <row r="39" spans="1:6" s="502" customFormat="1" ht="15.75" customHeight="1">
      <c r="A39" s="1057">
        <v>312001</v>
      </c>
      <c r="B39" s="575" t="s">
        <v>596</v>
      </c>
      <c r="C39" s="25">
        <f>194801+12603</f>
        <v>207404</v>
      </c>
      <c r="D39" s="25">
        <f>98873+12603+1237</f>
        <v>112713</v>
      </c>
      <c r="E39" s="174">
        <f>C39+11000-443</f>
        <v>217961</v>
      </c>
      <c r="F39" s="25">
        <f>207983+23618+1623+200</f>
        <v>233424</v>
      </c>
    </row>
    <row r="40" spans="1:6" s="502" customFormat="1" ht="15.75" customHeight="1">
      <c r="A40" s="1049">
        <v>312001</v>
      </c>
      <c r="B40" s="574" t="s">
        <v>597</v>
      </c>
      <c r="C40" s="37">
        <v>1853</v>
      </c>
      <c r="D40" s="37">
        <v>927</v>
      </c>
      <c r="E40" s="171">
        <v>1929</v>
      </c>
      <c r="F40" s="37">
        <v>1935</v>
      </c>
    </row>
    <row r="41" spans="1:6" s="502" customFormat="1" ht="15.75" customHeight="1">
      <c r="A41" s="1050">
        <v>312001</v>
      </c>
      <c r="B41" s="572" t="s">
        <v>598</v>
      </c>
      <c r="C41" s="25">
        <v>906</v>
      </c>
      <c r="D41" s="25">
        <v>453</v>
      </c>
      <c r="E41" s="174">
        <v>906</v>
      </c>
      <c r="F41" s="25">
        <v>926</v>
      </c>
    </row>
    <row r="42" spans="1:6" s="502" customFormat="1" ht="15.75" customHeight="1">
      <c r="A42" s="1050">
        <v>312001</v>
      </c>
      <c r="B42" s="572" t="s">
        <v>599</v>
      </c>
      <c r="C42" s="25">
        <v>2840</v>
      </c>
      <c r="D42" s="25">
        <v>1417</v>
      </c>
      <c r="E42" s="174">
        <v>2840</v>
      </c>
      <c r="F42" s="25">
        <v>2896</v>
      </c>
    </row>
    <row r="43" spans="1:6" s="502" customFormat="1" ht="15.75" customHeight="1">
      <c r="A43" s="1050">
        <v>312001</v>
      </c>
      <c r="B43" s="572" t="s">
        <v>600</v>
      </c>
      <c r="C43" s="25">
        <v>855</v>
      </c>
      <c r="D43" s="25">
        <v>427</v>
      </c>
      <c r="E43" s="174">
        <v>855</v>
      </c>
      <c r="F43" s="25">
        <v>854</v>
      </c>
    </row>
    <row r="44" spans="1:6" s="502" customFormat="1" ht="15.75" customHeight="1">
      <c r="A44" s="1046">
        <v>312001</v>
      </c>
      <c r="B44" s="572" t="s">
        <v>601</v>
      </c>
      <c r="C44" s="37">
        <v>117</v>
      </c>
      <c r="D44" s="37"/>
      <c r="E44" s="171">
        <v>117</v>
      </c>
      <c r="F44" s="37">
        <v>162</v>
      </c>
    </row>
    <row r="45" spans="1:6" s="502" customFormat="1" ht="15.75" customHeight="1">
      <c r="A45" s="1049">
        <v>312001</v>
      </c>
      <c r="B45" s="572" t="s">
        <v>602</v>
      </c>
      <c r="C45" s="110">
        <v>0</v>
      </c>
      <c r="D45" s="110">
        <v>343</v>
      </c>
      <c r="E45" s="172">
        <v>500</v>
      </c>
      <c r="F45" s="110">
        <v>783</v>
      </c>
    </row>
    <row r="46" spans="1:6" s="502" customFormat="1" ht="15.75" customHeight="1">
      <c r="A46" s="1050">
        <v>312001</v>
      </c>
      <c r="B46" s="572" t="s">
        <v>603</v>
      </c>
      <c r="C46" s="111">
        <v>0</v>
      </c>
      <c r="D46" s="111">
        <f>174+342</f>
        <v>516</v>
      </c>
      <c r="E46" s="173">
        <v>342</v>
      </c>
      <c r="F46" s="111">
        <v>342</v>
      </c>
    </row>
    <row r="47" spans="1:6" s="502" customFormat="1" ht="15.75" customHeight="1">
      <c r="A47" s="1050">
        <v>312001</v>
      </c>
      <c r="B47" s="572" t="s">
        <v>661</v>
      </c>
      <c r="C47" s="37">
        <v>0</v>
      </c>
      <c r="D47" s="37">
        <v>0</v>
      </c>
      <c r="E47" s="171">
        <v>174</v>
      </c>
      <c r="F47" s="37">
        <v>463</v>
      </c>
    </row>
    <row r="48" spans="1:6" s="502" customFormat="1" ht="15.75" customHeight="1">
      <c r="A48" s="1050">
        <v>311</v>
      </c>
      <c r="B48" s="572" t="s">
        <v>604</v>
      </c>
      <c r="C48" s="25">
        <v>0</v>
      </c>
      <c r="D48" s="25">
        <v>240</v>
      </c>
      <c r="E48" s="174">
        <v>2000</v>
      </c>
      <c r="F48" s="25">
        <v>1925</v>
      </c>
    </row>
    <row r="49" spans="1:6" s="502" customFormat="1" ht="15.75" customHeight="1">
      <c r="A49" s="1050">
        <v>311</v>
      </c>
      <c r="B49" s="573" t="s">
        <v>605</v>
      </c>
      <c r="C49" s="67">
        <v>0</v>
      </c>
      <c r="D49" s="67">
        <v>65</v>
      </c>
      <c r="E49" s="175">
        <v>100</v>
      </c>
      <c r="F49" s="67">
        <v>328</v>
      </c>
    </row>
    <row r="50" spans="1:6" s="502" customFormat="1" ht="15.75" customHeight="1">
      <c r="A50" s="1046">
        <v>312001</v>
      </c>
      <c r="B50" s="572" t="s">
        <v>606</v>
      </c>
      <c r="C50" s="25">
        <v>0</v>
      </c>
      <c r="D50" s="25">
        <v>25</v>
      </c>
      <c r="E50" s="174">
        <v>50</v>
      </c>
      <c r="F50" s="25">
        <v>25</v>
      </c>
    </row>
    <row r="51" spans="1:6" s="502" customFormat="1" ht="15.75" customHeight="1">
      <c r="A51" s="1057">
        <v>312001</v>
      </c>
      <c r="B51" s="1048" t="s">
        <v>660</v>
      </c>
      <c r="C51" s="25">
        <v>0</v>
      </c>
      <c r="D51" s="25"/>
      <c r="E51" s="174">
        <v>0</v>
      </c>
      <c r="F51" s="25">
        <v>196</v>
      </c>
    </row>
    <row r="52" spans="1:6" s="502" customFormat="1" ht="15.75" customHeight="1">
      <c r="A52" s="1049">
        <v>312001</v>
      </c>
      <c r="B52" s="500" t="s">
        <v>607</v>
      </c>
      <c r="C52" s="25"/>
      <c r="D52" s="25"/>
      <c r="E52" s="174">
        <v>106900</v>
      </c>
      <c r="F52" s="25">
        <f>56835+5000+106900</f>
        <v>168735</v>
      </c>
    </row>
    <row r="53" spans="1:6" s="502" customFormat="1" ht="15.75" customHeight="1" thickBot="1">
      <c r="A53" s="1051">
        <v>453</v>
      </c>
      <c r="B53" s="1066" t="s">
        <v>249</v>
      </c>
      <c r="C53" s="110">
        <v>0</v>
      </c>
      <c r="D53" s="110">
        <v>0</v>
      </c>
      <c r="E53" s="172">
        <f>89094-56835</f>
        <v>32259</v>
      </c>
      <c r="F53" s="110">
        <v>0</v>
      </c>
    </row>
    <row r="54" spans="1:6" s="502" customFormat="1" ht="21.75" customHeight="1" thickBot="1">
      <c r="A54" s="552" t="s">
        <v>608</v>
      </c>
      <c r="B54" s="571"/>
      <c r="C54" s="549">
        <f>C38+C34+C32+C25+C20+C12+C6</f>
        <v>1359727</v>
      </c>
      <c r="D54" s="284">
        <f>D38+D34+D32+D25+D20+D12+D6</f>
        <v>811535</v>
      </c>
      <c r="E54" s="285">
        <f>E38+E34+E32+E25+E20+E12+E6</f>
        <v>1558310</v>
      </c>
      <c r="F54" s="284">
        <f>F38+F34+F32+F25+F20+F12+F6</f>
        <v>1739314</v>
      </c>
    </row>
    <row r="55" spans="1:6" s="502" customFormat="1" ht="15.75">
      <c r="A55" s="517"/>
      <c r="B55" s="570"/>
      <c r="C55" s="516"/>
      <c r="D55" s="516"/>
      <c r="E55" s="500"/>
      <c r="F55" s="112"/>
    </row>
    <row r="56" spans="1:6" s="502" customFormat="1" ht="15.75">
      <c r="A56" s="517"/>
      <c r="B56" s="570"/>
      <c r="C56" s="516"/>
      <c r="D56" s="516"/>
      <c r="E56" s="500"/>
      <c r="F56" s="112"/>
    </row>
    <row r="57" spans="1:6" s="502" customFormat="1" ht="15.75" customHeight="1" thickBot="1">
      <c r="A57" s="569"/>
      <c r="B57" s="568"/>
      <c r="C57" s="567"/>
      <c r="D57" s="567"/>
      <c r="E57" s="112"/>
      <c r="F57" s="1359" t="s">
        <v>776</v>
      </c>
    </row>
    <row r="58" spans="1:6" s="502" customFormat="1" ht="51.75" customHeight="1" thickBot="1">
      <c r="A58" s="566" t="s">
        <v>555</v>
      </c>
      <c r="B58" s="544"/>
      <c r="C58" s="282" t="s">
        <v>388</v>
      </c>
      <c r="D58" s="282" t="s">
        <v>389</v>
      </c>
      <c r="E58" s="283" t="s">
        <v>390</v>
      </c>
      <c r="F58" s="282" t="s">
        <v>649</v>
      </c>
    </row>
    <row r="59" spans="1:6" s="502" customFormat="1" ht="15.75" customHeight="1">
      <c r="A59" s="543" t="s">
        <v>609</v>
      </c>
      <c r="B59" s="542"/>
      <c r="C59" s="541">
        <f>SUM(C60:C62)</f>
        <v>77077</v>
      </c>
      <c r="D59" s="541">
        <f>SUM(D60:D62)</f>
        <v>47272</v>
      </c>
      <c r="E59" s="565">
        <f>SUM(E60:E62)</f>
        <v>68617</v>
      </c>
      <c r="F59" s="541">
        <f>SUM(F60:F62)</f>
        <v>62057</v>
      </c>
    </row>
    <row r="60" spans="1:6" s="502" customFormat="1" ht="15.75" customHeight="1">
      <c r="A60" s="564">
        <v>231</v>
      </c>
      <c r="B60" s="511" t="s">
        <v>610</v>
      </c>
      <c r="C60" s="524">
        <v>5037</v>
      </c>
      <c r="D60" s="524">
        <v>3433</v>
      </c>
      <c r="E60" s="563">
        <f>C60</f>
        <v>5037</v>
      </c>
      <c r="F60" s="524">
        <v>5622</v>
      </c>
    </row>
    <row r="61" spans="1:6" s="502" customFormat="1" ht="15.75" customHeight="1">
      <c r="A61" s="564">
        <v>231</v>
      </c>
      <c r="B61" s="511" t="s">
        <v>611</v>
      </c>
      <c r="C61" s="524">
        <v>10000</v>
      </c>
      <c r="D61" s="524">
        <v>1991</v>
      </c>
      <c r="E61" s="563">
        <f>10000+2580</f>
        <v>12580</v>
      </c>
      <c r="F61" s="524">
        <v>5755</v>
      </c>
    </row>
    <row r="62" spans="1:6" s="502" customFormat="1" ht="15.75" customHeight="1">
      <c r="A62" s="557">
        <v>233001</v>
      </c>
      <c r="B62" s="525" t="s">
        <v>612</v>
      </c>
      <c r="C62" s="524">
        <v>62040</v>
      </c>
      <c r="D62" s="524">
        <v>41848</v>
      </c>
      <c r="E62" s="563">
        <v>51000</v>
      </c>
      <c r="F62" s="524">
        <v>50680</v>
      </c>
    </row>
    <row r="63" spans="1:6" s="531" customFormat="1" ht="15.75" customHeight="1">
      <c r="A63" s="562" t="s">
        <v>613</v>
      </c>
      <c r="B63" s="561"/>
      <c r="C63" s="532">
        <v>0</v>
      </c>
      <c r="D63" s="532">
        <f>SUM(D64:D66)</f>
        <v>279917</v>
      </c>
      <c r="E63" s="555">
        <f>SUM(E64:E66)</f>
        <v>242306</v>
      </c>
      <c r="F63" s="532">
        <f>SUM(F64:F69)</f>
        <v>601389</v>
      </c>
    </row>
    <row r="64" spans="1:6" s="502" customFormat="1" ht="15.75" customHeight="1">
      <c r="A64" s="557">
        <v>322001</v>
      </c>
      <c r="B64" s="525" t="s">
        <v>657</v>
      </c>
      <c r="C64" s="110">
        <v>0</v>
      </c>
      <c r="D64" s="110">
        <f>139007+126435</f>
        <v>265442</v>
      </c>
      <c r="E64" s="172">
        <f>139007+63315+63120-56835</f>
        <v>208607</v>
      </c>
      <c r="F64" s="110">
        <f>58316+63160+300845+139006</f>
        <v>561327</v>
      </c>
    </row>
    <row r="65" spans="1:6" s="502" customFormat="1" ht="15.75" customHeight="1">
      <c r="A65" s="554">
        <v>322001</v>
      </c>
      <c r="B65" s="558" t="s">
        <v>614</v>
      </c>
      <c r="C65" s="111">
        <v>0</v>
      </c>
      <c r="D65" s="111">
        <v>14350</v>
      </c>
      <c r="E65" s="173">
        <f>19608+12591</f>
        <v>32199</v>
      </c>
      <c r="F65" s="111">
        <v>31480</v>
      </c>
    </row>
    <row r="66" spans="1:6" s="502" customFormat="1" ht="15.75" customHeight="1">
      <c r="A66" s="537">
        <v>322001</v>
      </c>
      <c r="B66" s="560" t="s">
        <v>615</v>
      </c>
      <c r="C66" s="25">
        <v>0</v>
      </c>
      <c r="D66" s="25">
        <v>125</v>
      </c>
      <c r="E66" s="174">
        <v>1500</v>
      </c>
      <c r="F66" s="25">
        <v>519</v>
      </c>
    </row>
    <row r="67" spans="1:6" s="502" customFormat="1" ht="15.75" customHeight="1">
      <c r="A67" s="559">
        <v>322001</v>
      </c>
      <c r="B67" s="558" t="s">
        <v>658</v>
      </c>
      <c r="C67" s="25">
        <v>0</v>
      </c>
      <c r="D67" s="25"/>
      <c r="E67" s="174">
        <v>0</v>
      </c>
      <c r="F67" s="25">
        <v>1000</v>
      </c>
    </row>
    <row r="68" spans="1:6" s="502" customFormat="1" ht="15.75" customHeight="1">
      <c r="A68" s="557">
        <v>322001</v>
      </c>
      <c r="B68" s="511" t="s">
        <v>659</v>
      </c>
      <c r="C68" s="25">
        <v>0</v>
      </c>
      <c r="D68" s="25"/>
      <c r="E68" s="174">
        <v>0</v>
      </c>
      <c r="F68" s="25">
        <v>63</v>
      </c>
    </row>
    <row r="69" spans="1:6" s="502" customFormat="1" ht="15.75" customHeight="1">
      <c r="A69" s="556">
        <v>322001</v>
      </c>
      <c r="B69" s="511" t="s">
        <v>271</v>
      </c>
      <c r="C69" s="25">
        <v>0</v>
      </c>
      <c r="D69" s="110"/>
      <c r="E69" s="172">
        <v>0</v>
      </c>
      <c r="F69" s="110">
        <v>7000</v>
      </c>
    </row>
    <row r="70" spans="1:6" s="531" customFormat="1" ht="15.75" customHeight="1">
      <c r="A70" s="534" t="s">
        <v>616</v>
      </c>
      <c r="B70" s="533"/>
      <c r="C70" s="532">
        <v>0</v>
      </c>
      <c r="D70" s="532">
        <v>664</v>
      </c>
      <c r="E70" s="555">
        <f>SUM(E71)</f>
        <v>2000</v>
      </c>
      <c r="F70" s="532">
        <f>SUM(F71)</f>
        <v>2771</v>
      </c>
    </row>
    <row r="71" spans="1:6" s="502" customFormat="1" ht="15.75" customHeight="1" thickBot="1">
      <c r="A71" s="554">
        <v>341</v>
      </c>
      <c r="B71" s="553" t="s">
        <v>617</v>
      </c>
      <c r="C71" s="110"/>
      <c r="D71" s="110">
        <v>664</v>
      </c>
      <c r="E71" s="172">
        <v>2000</v>
      </c>
      <c r="F71" s="110">
        <v>2771</v>
      </c>
    </row>
    <row r="72" spans="1:6" s="502" customFormat="1" ht="21.75" customHeight="1" thickBot="1">
      <c r="A72" s="552" t="s">
        <v>618</v>
      </c>
      <c r="B72" s="551"/>
      <c r="C72" s="549">
        <f>C59</f>
        <v>77077</v>
      </c>
      <c r="D72" s="549">
        <f>D59+D63+D70</f>
        <v>327853</v>
      </c>
      <c r="E72" s="550">
        <f>E70+E63+E59</f>
        <v>312923</v>
      </c>
      <c r="F72" s="549">
        <f>SUM(F59+F63+F70)</f>
        <v>666217</v>
      </c>
    </row>
    <row r="73" spans="1:6" s="546" customFormat="1" ht="15.75" customHeight="1">
      <c r="A73" s="548"/>
      <c r="B73" s="547"/>
      <c r="C73" s="547"/>
      <c r="D73" s="547"/>
      <c r="E73" s="547"/>
      <c r="F73" s="547"/>
    </row>
    <row r="74" spans="1:6" s="546" customFormat="1" ht="15.75" customHeight="1">
      <c r="A74" s="548"/>
      <c r="B74" s="547"/>
      <c r="C74" s="547"/>
      <c r="D74" s="547"/>
      <c r="E74" s="547"/>
      <c r="F74" s="547"/>
    </row>
    <row r="75" spans="1:6" s="546" customFormat="1" ht="15.75" customHeight="1" thickBot="1">
      <c r="A75" s="548"/>
      <c r="B75" s="547"/>
      <c r="C75" s="547"/>
      <c r="D75" s="547"/>
      <c r="E75" s="547"/>
      <c r="F75" s="547"/>
    </row>
    <row r="76" spans="1:6" s="502" customFormat="1" ht="51.75" customHeight="1" thickBot="1">
      <c r="A76" s="545" t="s">
        <v>556</v>
      </c>
      <c r="B76" s="544"/>
      <c r="C76" s="282" t="s">
        <v>388</v>
      </c>
      <c r="D76" s="282" t="s">
        <v>389</v>
      </c>
      <c r="E76" s="282" t="s">
        <v>390</v>
      </c>
      <c r="F76" s="282" t="s">
        <v>649</v>
      </c>
    </row>
    <row r="77" spans="1:6" s="502" customFormat="1" ht="15.75" customHeight="1">
      <c r="A77" s="543" t="s">
        <v>619</v>
      </c>
      <c r="B77" s="542"/>
      <c r="C77" s="541">
        <f>SUM(C84:C84)</f>
        <v>20000</v>
      </c>
      <c r="D77" s="541">
        <f>SUM(D83:D84)</f>
        <v>281884</v>
      </c>
      <c r="E77" s="541">
        <f>SUM(E79:E84)</f>
        <v>232984</v>
      </c>
      <c r="F77" s="541">
        <f>SUM(F78:F84)</f>
        <v>430562</v>
      </c>
    </row>
    <row r="78" spans="1:6" s="502" customFormat="1" ht="15.75" customHeight="1">
      <c r="A78" s="113">
        <v>411007</v>
      </c>
      <c r="B78" s="540" t="s">
        <v>653</v>
      </c>
      <c r="C78" s="114">
        <v>0</v>
      </c>
      <c r="D78" s="538"/>
      <c r="E78" s="114">
        <v>0</v>
      </c>
      <c r="F78" s="114">
        <v>100</v>
      </c>
    </row>
    <row r="79" spans="1:6" s="502" customFormat="1" ht="15.75" customHeight="1">
      <c r="A79" s="113">
        <v>431</v>
      </c>
      <c r="B79" s="540" t="s">
        <v>620</v>
      </c>
      <c r="C79" s="114">
        <v>0</v>
      </c>
      <c r="D79" s="538"/>
      <c r="E79" s="114">
        <v>4200</v>
      </c>
      <c r="F79" s="114">
        <v>4200</v>
      </c>
    </row>
    <row r="80" spans="1:6" s="502" customFormat="1" ht="15.75" customHeight="1">
      <c r="A80" s="115">
        <v>431</v>
      </c>
      <c r="B80" s="540" t="s">
        <v>621</v>
      </c>
      <c r="C80" s="114"/>
      <c r="D80" s="538"/>
      <c r="E80" s="114">
        <v>760</v>
      </c>
      <c r="F80" s="114">
        <v>760</v>
      </c>
    </row>
    <row r="81" spans="1:6" s="502" customFormat="1" ht="15.75" customHeight="1">
      <c r="A81" s="113">
        <v>431</v>
      </c>
      <c r="B81" s="539" t="s">
        <v>654</v>
      </c>
      <c r="C81" s="114">
        <v>0</v>
      </c>
      <c r="D81" s="538"/>
      <c r="E81" s="114">
        <v>0</v>
      </c>
      <c r="F81" s="114">
        <v>96000</v>
      </c>
    </row>
    <row r="82" spans="1:6" s="502" customFormat="1" ht="15.75" customHeight="1">
      <c r="A82" s="115">
        <v>431</v>
      </c>
      <c r="B82" s="539" t="s">
        <v>655</v>
      </c>
      <c r="C82" s="114">
        <v>0</v>
      </c>
      <c r="D82" s="538"/>
      <c r="E82" s="114">
        <v>0</v>
      </c>
      <c r="F82" s="114">
        <f>1300+1281</f>
        <v>2581</v>
      </c>
    </row>
    <row r="83" spans="1:6" s="502" customFormat="1" ht="15.75" customHeight="1">
      <c r="A83" s="179">
        <v>453</v>
      </c>
      <c r="B83" s="525" t="s">
        <v>656</v>
      </c>
      <c r="C83" s="37">
        <v>0</v>
      </c>
      <c r="D83" s="37">
        <f>275+187115+89094</f>
        <v>276484</v>
      </c>
      <c r="E83" s="37">
        <f>275+187115+20000+634</f>
        <v>208024</v>
      </c>
      <c r="F83" s="37">
        <f>277+187116+116413</f>
        <v>303806</v>
      </c>
    </row>
    <row r="84" spans="1:6" s="502" customFormat="1" ht="15.75" customHeight="1">
      <c r="A84" s="537">
        <v>454</v>
      </c>
      <c r="B84" s="536" t="s">
        <v>622</v>
      </c>
      <c r="C84" s="535">
        <v>20000</v>
      </c>
      <c r="D84" s="535">
        <v>5400</v>
      </c>
      <c r="E84" s="535">
        <v>20000</v>
      </c>
      <c r="F84" s="535">
        <v>23115</v>
      </c>
    </row>
    <row r="85" spans="1:6" s="531" customFormat="1" ht="15.75" customHeight="1">
      <c r="A85" s="534" t="s">
        <v>623</v>
      </c>
      <c r="B85" s="533"/>
      <c r="C85" s="532">
        <v>0</v>
      </c>
      <c r="D85" s="532">
        <v>177083</v>
      </c>
      <c r="E85" s="532">
        <f>SUM(E87:E88)</f>
        <v>247917</v>
      </c>
      <c r="F85" s="532">
        <f>F86</f>
        <v>381222</v>
      </c>
    </row>
    <row r="86" spans="1:6" s="502" customFormat="1" ht="15.75" customHeight="1">
      <c r="A86" s="530">
        <v>513002</v>
      </c>
      <c r="B86" s="529" t="s">
        <v>623</v>
      </c>
      <c r="C86" s="528">
        <v>0</v>
      </c>
      <c r="D86" s="527">
        <v>177083</v>
      </c>
      <c r="E86" s="527">
        <f>SUM(E87:E88)</f>
        <v>247917</v>
      </c>
      <c r="F86" s="527">
        <f>SUM(F87:F88)</f>
        <v>381222</v>
      </c>
    </row>
    <row r="87" spans="1:6" s="502" customFormat="1" ht="15.75" customHeight="1">
      <c r="A87" s="526"/>
      <c r="B87" s="525" t="s">
        <v>624</v>
      </c>
      <c r="C87" s="524">
        <v>0</v>
      </c>
      <c r="D87" s="524">
        <v>27083</v>
      </c>
      <c r="E87" s="524">
        <v>97917</v>
      </c>
      <c r="F87" s="524">
        <v>95994</v>
      </c>
    </row>
    <row r="88" spans="1:6" s="502" customFormat="1" ht="15.75" customHeight="1" thickBot="1">
      <c r="A88" s="523"/>
      <c r="B88" s="522" t="s">
        <v>625</v>
      </c>
      <c r="C88" s="521">
        <v>0</v>
      </c>
      <c r="D88" s="521">
        <v>150000</v>
      </c>
      <c r="E88" s="521">
        <v>150000</v>
      </c>
      <c r="F88" s="521">
        <v>285228</v>
      </c>
    </row>
    <row r="89" spans="1:6" s="502" customFormat="1" ht="21.75" customHeight="1" thickBot="1">
      <c r="A89" s="520" t="s">
        <v>626</v>
      </c>
      <c r="B89" s="519"/>
      <c r="C89" s="518">
        <f>C85+C77</f>
        <v>20000</v>
      </c>
      <c r="D89" s="518">
        <f>D85+D77</f>
        <v>458967</v>
      </c>
      <c r="E89" s="518">
        <f>E85+E77</f>
        <v>480901</v>
      </c>
      <c r="F89" s="518">
        <f>F85+F77</f>
        <v>811784</v>
      </c>
    </row>
    <row r="90" spans="1:6" s="502" customFormat="1" ht="16.5" thickBot="1">
      <c r="A90" s="517"/>
      <c r="B90" s="500"/>
      <c r="C90" s="516"/>
      <c r="D90" s="516"/>
      <c r="E90" s="516"/>
      <c r="F90" s="516"/>
    </row>
    <row r="91" spans="1:6" s="502" customFormat="1" ht="15.75">
      <c r="A91" s="515" t="s">
        <v>554</v>
      </c>
      <c r="B91" s="514"/>
      <c r="C91" s="513">
        <f>C54</f>
        <v>1359727</v>
      </c>
      <c r="D91" s="513">
        <f>D54</f>
        <v>811535</v>
      </c>
      <c r="E91" s="513">
        <f>E54</f>
        <v>1558310</v>
      </c>
      <c r="F91" s="513">
        <f>SUM(F54)</f>
        <v>1739314</v>
      </c>
    </row>
    <row r="92" spans="1:6" s="502" customFormat="1" ht="15.75">
      <c r="A92" s="512" t="s">
        <v>555</v>
      </c>
      <c r="B92" s="511"/>
      <c r="C92" s="510">
        <f>C72</f>
        <v>77077</v>
      </c>
      <c r="D92" s="510">
        <f>D72</f>
        <v>327853</v>
      </c>
      <c r="E92" s="510">
        <f>E72</f>
        <v>312923</v>
      </c>
      <c r="F92" s="510">
        <f>F72</f>
        <v>666217</v>
      </c>
    </row>
    <row r="93" spans="1:6" s="502" customFormat="1" ht="16.5" thickBot="1">
      <c r="A93" s="509" t="s">
        <v>556</v>
      </c>
      <c r="B93" s="508"/>
      <c r="C93" s="507">
        <f>C89</f>
        <v>20000</v>
      </c>
      <c r="D93" s="507">
        <f>D89</f>
        <v>458967</v>
      </c>
      <c r="E93" s="507">
        <f>E89</f>
        <v>480901</v>
      </c>
      <c r="F93" s="507">
        <f>F89</f>
        <v>811784</v>
      </c>
    </row>
    <row r="94" spans="1:6" s="503" customFormat="1" ht="21.75" customHeight="1" thickBot="1">
      <c r="A94" s="506" t="s">
        <v>557</v>
      </c>
      <c r="B94" s="505"/>
      <c r="C94" s="504">
        <f>SUM(C91:C93)</f>
        <v>1456804</v>
      </c>
      <c r="D94" s="504">
        <f>D89+D72+D54</f>
        <v>1598355</v>
      </c>
      <c r="E94" s="504">
        <f>E89+E72+E54</f>
        <v>2352134</v>
      </c>
      <c r="F94" s="504">
        <f>SUM(F91:F93)</f>
        <v>3217315</v>
      </c>
    </row>
    <row r="95" spans="1:6" s="502" customFormat="1" ht="15">
      <c r="A95" s="498"/>
      <c r="B95" s="496"/>
      <c r="C95" s="497"/>
      <c r="D95" s="497"/>
      <c r="E95" s="497"/>
      <c r="F95" s="497"/>
    </row>
    <row r="96" spans="1:6" s="502" customFormat="1" ht="15">
      <c r="A96" s="498"/>
      <c r="B96" s="496" t="s">
        <v>546</v>
      </c>
      <c r="C96" s="497"/>
      <c r="D96" s="497"/>
      <c r="E96" s="497"/>
      <c r="F96" s="497"/>
    </row>
    <row r="97" spans="1:6" s="502" customFormat="1" ht="15">
      <c r="A97" s="498"/>
      <c r="B97" s="496"/>
      <c r="C97" s="497"/>
      <c r="D97" s="497"/>
      <c r="E97" s="497"/>
      <c r="F97" s="497"/>
    </row>
    <row r="98" spans="1:6" s="502" customFormat="1" ht="15">
      <c r="A98" s="498"/>
      <c r="B98" s="496"/>
      <c r="C98" s="497"/>
      <c r="D98" s="497"/>
      <c r="E98" s="497"/>
      <c r="F98" s="497"/>
    </row>
    <row r="99" spans="1:6" s="502" customFormat="1" ht="15">
      <c r="A99" s="498"/>
      <c r="B99" s="496"/>
      <c r="C99" s="497"/>
      <c r="D99" s="497"/>
      <c r="E99" s="497"/>
      <c r="F99" s="497"/>
    </row>
    <row r="100" spans="1:6" s="502" customFormat="1" ht="15">
      <c r="A100" s="498"/>
      <c r="B100" s="496"/>
      <c r="C100" s="497"/>
      <c r="D100" s="497"/>
      <c r="E100" s="497"/>
      <c r="F100" s="497"/>
    </row>
    <row r="101" spans="1:6" s="502" customFormat="1" ht="15">
      <c r="A101" s="498"/>
      <c r="B101" s="496"/>
      <c r="C101" s="497"/>
      <c r="D101" s="497"/>
      <c r="E101" s="497"/>
      <c r="F101" s="497"/>
    </row>
    <row r="102" spans="1:6" s="502" customFormat="1" ht="15">
      <c r="A102" s="498"/>
      <c r="B102" s="496"/>
      <c r="C102" s="497"/>
      <c r="D102" s="497"/>
      <c r="E102" s="497"/>
      <c r="F102" s="497"/>
    </row>
    <row r="103" spans="1:6" s="502" customFormat="1" ht="15">
      <c r="A103" s="498"/>
      <c r="B103" s="496"/>
      <c r="C103" s="497"/>
      <c r="D103" s="497"/>
      <c r="E103" s="497"/>
      <c r="F103" s="497"/>
    </row>
    <row r="104" spans="1:6" s="502" customFormat="1" ht="15">
      <c r="A104" s="501"/>
      <c r="B104" s="500"/>
      <c r="C104" s="499"/>
      <c r="D104" s="499"/>
      <c r="E104" s="499"/>
      <c r="F104" s="499"/>
    </row>
    <row r="105" spans="1:6" s="502" customFormat="1" ht="15">
      <c r="A105" s="501"/>
      <c r="B105" s="500"/>
      <c r="C105" s="499"/>
      <c r="D105" s="499"/>
      <c r="E105" s="499"/>
      <c r="F105" s="499"/>
    </row>
    <row r="106" spans="1:6" s="502" customFormat="1" ht="15">
      <c r="A106" s="501"/>
      <c r="B106" s="500"/>
      <c r="C106" s="499"/>
      <c r="D106" s="499"/>
      <c r="E106" s="499"/>
      <c r="F106" s="499"/>
    </row>
    <row r="107" spans="1:6" ht="15">
      <c r="A107" s="501"/>
      <c r="B107" s="500"/>
      <c r="C107" s="499"/>
      <c r="D107" s="499"/>
      <c r="E107" s="499"/>
      <c r="F107" s="499"/>
    </row>
    <row r="108" spans="1:6" ht="15">
      <c r="A108" s="501"/>
      <c r="B108" s="500"/>
      <c r="C108" s="499"/>
      <c r="D108" s="499"/>
      <c r="E108" s="499"/>
      <c r="F108" s="499"/>
    </row>
    <row r="109" spans="1:6" ht="15">
      <c r="A109" s="501"/>
      <c r="B109" s="500"/>
      <c r="C109" s="499"/>
      <c r="D109" s="499"/>
      <c r="E109" s="499"/>
      <c r="F109" s="499"/>
    </row>
    <row r="110" spans="1:6" ht="15">
      <c r="A110" s="501"/>
      <c r="B110" s="500"/>
      <c r="C110" s="499"/>
      <c r="D110" s="499"/>
      <c r="E110" s="499"/>
      <c r="F110" s="499"/>
    </row>
    <row r="111" spans="1:6" ht="15">
      <c r="A111" s="501"/>
      <c r="B111" s="500"/>
      <c r="C111" s="499"/>
      <c r="D111" s="499"/>
      <c r="E111" s="499"/>
      <c r="F111" s="499"/>
    </row>
    <row r="112" spans="1:6" ht="15">
      <c r="A112" s="501"/>
      <c r="B112" s="500"/>
      <c r="C112" s="499"/>
      <c r="D112" s="499"/>
      <c r="E112" s="499"/>
      <c r="F112" s="499"/>
    </row>
    <row r="113" spans="1:6" ht="15">
      <c r="A113" s="501"/>
      <c r="B113" s="500"/>
      <c r="C113" s="499"/>
      <c r="D113" s="499"/>
      <c r="E113" s="499"/>
      <c r="F113" s="499"/>
    </row>
    <row r="114" spans="1:6" ht="15">
      <c r="A114" s="501"/>
      <c r="B114" s="500"/>
      <c r="C114" s="499"/>
      <c r="D114" s="499"/>
      <c r="E114" s="499"/>
      <c r="F114" s="499"/>
    </row>
    <row r="115" spans="1:6" ht="15">
      <c r="A115" s="501"/>
      <c r="B115" s="500"/>
      <c r="C115" s="499"/>
      <c r="D115" s="499"/>
      <c r="E115" s="499"/>
      <c r="F115" s="499"/>
    </row>
    <row r="116" spans="1:6" ht="15">
      <c r="A116" s="501"/>
      <c r="B116" s="500"/>
      <c r="C116" s="499"/>
      <c r="D116" s="499"/>
      <c r="E116" s="499"/>
      <c r="F116" s="499"/>
    </row>
    <row r="117" spans="1:6" ht="15">
      <c r="A117" s="501"/>
      <c r="B117" s="500"/>
      <c r="C117" s="499"/>
      <c r="D117" s="499"/>
      <c r="E117" s="499"/>
      <c r="F117" s="499"/>
    </row>
    <row r="118" spans="1:6" ht="15">
      <c r="A118" s="501"/>
      <c r="B118" s="500"/>
      <c r="C118" s="499"/>
      <c r="D118" s="499"/>
      <c r="E118" s="499"/>
      <c r="F118" s="499"/>
    </row>
    <row r="119" spans="1:6" ht="15">
      <c r="A119" s="501"/>
      <c r="B119" s="500"/>
      <c r="C119" s="499"/>
      <c r="D119" s="499"/>
      <c r="E119" s="499"/>
      <c r="F119" s="499"/>
    </row>
    <row r="120" spans="1:6" ht="15">
      <c r="A120" s="501"/>
      <c r="B120" s="500"/>
      <c r="C120" s="499"/>
      <c r="D120" s="499"/>
      <c r="E120" s="499"/>
      <c r="F120" s="499"/>
    </row>
    <row r="121" spans="1:6" ht="15">
      <c r="A121" s="501"/>
      <c r="B121" s="500"/>
      <c r="C121" s="499"/>
      <c r="D121" s="499"/>
      <c r="E121" s="499"/>
      <c r="F121" s="499"/>
    </row>
    <row r="122" spans="1:6" ht="15">
      <c r="A122" s="501"/>
      <c r="B122" s="500"/>
      <c r="C122" s="499"/>
      <c r="D122" s="499"/>
      <c r="E122" s="499"/>
      <c r="F122" s="499"/>
    </row>
    <row r="123" spans="1:6" ht="15">
      <c r="A123" s="501"/>
      <c r="B123" s="500"/>
      <c r="C123" s="499"/>
      <c r="D123" s="499"/>
      <c r="E123" s="499"/>
      <c r="F123" s="499"/>
    </row>
    <row r="124" spans="1:6" ht="15">
      <c r="A124" s="501"/>
      <c r="B124" s="500"/>
      <c r="C124" s="499"/>
      <c r="D124" s="499"/>
      <c r="E124" s="499"/>
      <c r="F124" s="499"/>
    </row>
    <row r="125" spans="1:6" ht="15">
      <c r="A125" s="501"/>
      <c r="B125" s="500"/>
      <c r="C125" s="499"/>
      <c r="D125" s="499"/>
      <c r="E125" s="499"/>
      <c r="F125" s="499"/>
    </row>
    <row r="126" spans="1:6" ht="15">
      <c r="A126" s="501"/>
      <c r="B126" s="500"/>
      <c r="C126" s="499"/>
      <c r="D126" s="499"/>
      <c r="E126" s="499"/>
      <c r="F126" s="499"/>
    </row>
    <row r="127" spans="1:6" ht="15">
      <c r="A127" s="501"/>
      <c r="B127" s="500"/>
      <c r="C127" s="499"/>
      <c r="D127" s="499"/>
      <c r="E127" s="499"/>
      <c r="F127" s="499"/>
    </row>
    <row r="128" spans="1:6" ht="15">
      <c r="A128" s="501"/>
      <c r="B128" s="500"/>
      <c r="C128" s="499"/>
      <c r="D128" s="499"/>
      <c r="E128" s="499"/>
      <c r="F128" s="499"/>
    </row>
    <row r="129" spans="1:6" ht="15">
      <c r="A129" s="501"/>
      <c r="B129" s="500"/>
      <c r="C129" s="499"/>
      <c r="D129" s="499"/>
      <c r="E129" s="499"/>
      <c r="F129" s="499"/>
    </row>
    <row r="130" spans="1:6" ht="15">
      <c r="A130" s="501"/>
      <c r="B130" s="500"/>
      <c r="C130" s="499"/>
      <c r="D130" s="499"/>
      <c r="E130" s="499"/>
      <c r="F130" s="499"/>
    </row>
    <row r="131" spans="1:6" ht="15">
      <c r="A131" s="501"/>
      <c r="B131" s="500"/>
      <c r="C131" s="499"/>
      <c r="D131" s="499"/>
      <c r="E131" s="499"/>
      <c r="F131" s="499"/>
    </row>
    <row r="132" spans="1:6" ht="15">
      <c r="A132" s="501"/>
      <c r="B132" s="500"/>
      <c r="C132" s="499"/>
      <c r="D132" s="499"/>
      <c r="E132" s="499"/>
      <c r="F132" s="499"/>
    </row>
    <row r="133" spans="1:6" ht="15">
      <c r="A133" s="501"/>
      <c r="B133" s="500"/>
      <c r="C133" s="499"/>
      <c r="D133" s="499"/>
      <c r="E133" s="499"/>
      <c r="F133" s="499"/>
    </row>
    <row r="134" spans="1:6" ht="15">
      <c r="A134" s="501"/>
      <c r="B134" s="500"/>
      <c r="C134" s="499"/>
      <c r="D134" s="499"/>
      <c r="E134" s="499"/>
      <c r="F134" s="499"/>
    </row>
    <row r="135" spans="1:6" ht="15">
      <c r="A135" s="501"/>
      <c r="B135" s="500"/>
      <c r="C135" s="499"/>
      <c r="D135" s="499"/>
      <c r="E135" s="499"/>
      <c r="F135" s="499"/>
    </row>
    <row r="136" spans="1:6" ht="15">
      <c r="A136" s="501"/>
      <c r="B136" s="500"/>
      <c r="C136" s="499"/>
      <c r="D136" s="499"/>
      <c r="E136" s="499"/>
      <c r="F136" s="499"/>
    </row>
    <row r="137" spans="1:6" ht="15">
      <c r="A137" s="501"/>
      <c r="B137" s="500"/>
      <c r="C137" s="499"/>
      <c r="D137" s="499"/>
      <c r="E137" s="499"/>
      <c r="F137" s="499"/>
    </row>
    <row r="138" spans="1:6" ht="15">
      <c r="A138" s="501"/>
      <c r="B138" s="500"/>
      <c r="C138" s="499"/>
      <c r="D138" s="499"/>
      <c r="E138" s="499"/>
      <c r="F138" s="499"/>
    </row>
    <row r="139" spans="1:6" ht="15">
      <c r="A139" s="501"/>
      <c r="B139" s="500"/>
      <c r="C139" s="499"/>
      <c r="D139" s="499"/>
      <c r="E139" s="499"/>
      <c r="F139" s="499"/>
    </row>
    <row r="140" spans="1:6" ht="15">
      <c r="A140" s="501"/>
      <c r="B140" s="500"/>
      <c r="C140" s="499"/>
      <c r="D140" s="499"/>
      <c r="E140" s="499"/>
      <c r="F140" s="499"/>
    </row>
    <row r="141" spans="1:6" ht="15">
      <c r="A141" s="501"/>
      <c r="B141" s="500"/>
      <c r="C141" s="499"/>
      <c r="D141" s="499"/>
      <c r="E141" s="499"/>
      <c r="F141" s="499"/>
    </row>
    <row r="142" spans="1:6" ht="15">
      <c r="A142" s="501"/>
      <c r="B142" s="500"/>
      <c r="C142" s="499"/>
      <c r="D142" s="499"/>
      <c r="E142" s="499"/>
      <c r="F142" s="499"/>
    </row>
    <row r="143" spans="1:6" ht="15">
      <c r="A143" s="501"/>
      <c r="B143" s="500"/>
      <c r="C143" s="499"/>
      <c r="D143" s="499"/>
      <c r="E143" s="499"/>
      <c r="F143" s="499"/>
    </row>
    <row r="144" spans="1:6" ht="15">
      <c r="A144" s="501"/>
      <c r="B144" s="500"/>
      <c r="C144" s="499"/>
      <c r="D144" s="499"/>
      <c r="E144" s="499"/>
      <c r="F144" s="499"/>
    </row>
    <row r="145" spans="1:6" ht="15">
      <c r="A145" s="501"/>
      <c r="B145" s="500"/>
      <c r="C145" s="499"/>
      <c r="D145" s="499"/>
      <c r="E145" s="499"/>
      <c r="F145" s="499"/>
    </row>
    <row r="146" spans="1:6" ht="15">
      <c r="A146" s="501"/>
      <c r="B146" s="500"/>
      <c r="C146" s="499"/>
      <c r="D146" s="499"/>
      <c r="E146" s="499"/>
      <c r="F146" s="499"/>
    </row>
    <row r="147" spans="1:6" ht="15">
      <c r="A147" s="501"/>
      <c r="B147" s="500"/>
      <c r="C147" s="499"/>
      <c r="D147" s="499"/>
      <c r="E147" s="499"/>
      <c r="F147" s="499"/>
    </row>
    <row r="148" spans="1:6" ht="15">
      <c r="A148" s="501"/>
      <c r="B148" s="500"/>
      <c r="C148" s="499"/>
      <c r="D148" s="499"/>
      <c r="E148" s="499"/>
      <c r="F148" s="499"/>
    </row>
    <row r="149" spans="1:6" ht="15">
      <c r="A149" s="501"/>
      <c r="B149" s="500"/>
      <c r="C149" s="499"/>
      <c r="D149" s="499"/>
      <c r="E149" s="499"/>
      <c r="F149" s="499"/>
    </row>
    <row r="150" spans="1:6" ht="15">
      <c r="A150" s="501"/>
      <c r="B150" s="500"/>
      <c r="C150" s="499"/>
      <c r="D150" s="499"/>
      <c r="E150" s="499"/>
      <c r="F150" s="499"/>
    </row>
    <row r="151" spans="1:6" ht="15">
      <c r="A151" s="501"/>
      <c r="B151" s="500"/>
      <c r="C151" s="499"/>
      <c r="D151" s="499"/>
      <c r="E151" s="499"/>
      <c r="F151" s="499"/>
    </row>
    <row r="152" spans="1:6" ht="15">
      <c r="A152" s="501"/>
      <c r="B152" s="500"/>
      <c r="C152" s="499"/>
      <c r="D152" s="499"/>
      <c r="E152" s="499"/>
      <c r="F152" s="499"/>
    </row>
    <row r="153" spans="1:6" ht="15">
      <c r="A153" s="501"/>
      <c r="B153" s="500"/>
      <c r="C153" s="499"/>
      <c r="D153" s="499"/>
      <c r="E153" s="499"/>
      <c r="F153" s="499"/>
    </row>
    <row r="154" spans="1:6" ht="15">
      <c r="A154" s="501"/>
      <c r="B154" s="500"/>
      <c r="C154" s="499"/>
      <c r="D154" s="499"/>
      <c r="E154" s="499"/>
      <c r="F154" s="499"/>
    </row>
    <row r="155" spans="1:6" ht="15">
      <c r="A155" s="501"/>
      <c r="B155" s="500"/>
      <c r="C155" s="499"/>
      <c r="D155" s="499"/>
      <c r="E155" s="499"/>
      <c r="F155" s="499"/>
    </row>
    <row r="156" spans="1:6" ht="15">
      <c r="A156" s="501"/>
      <c r="B156" s="500"/>
      <c r="C156" s="499"/>
      <c r="D156" s="499"/>
      <c r="E156" s="499"/>
      <c r="F156" s="499"/>
    </row>
    <row r="157" spans="1:6" ht="15">
      <c r="A157" s="501"/>
      <c r="B157" s="500"/>
      <c r="C157" s="499"/>
      <c r="D157" s="499"/>
      <c r="E157" s="499"/>
      <c r="F157" s="499"/>
    </row>
    <row r="158" spans="1:6" ht="15">
      <c r="A158" s="501"/>
      <c r="B158" s="500"/>
      <c r="C158" s="499"/>
      <c r="D158" s="499"/>
      <c r="E158" s="499"/>
      <c r="F158" s="499"/>
    </row>
    <row r="159" spans="1:6" ht="15">
      <c r="A159" s="501"/>
      <c r="B159" s="500"/>
      <c r="C159" s="499"/>
      <c r="D159" s="499"/>
      <c r="E159" s="499"/>
      <c r="F159" s="499"/>
    </row>
    <row r="160" spans="1:6" ht="15">
      <c r="A160" s="501"/>
      <c r="B160" s="500"/>
      <c r="C160" s="499"/>
      <c r="D160" s="499"/>
      <c r="E160" s="499"/>
      <c r="F160" s="499"/>
    </row>
    <row r="161" spans="1:6" ht="15">
      <c r="A161" s="501"/>
      <c r="B161" s="500"/>
      <c r="C161" s="499"/>
      <c r="D161" s="499"/>
      <c r="E161" s="499"/>
      <c r="F161" s="499"/>
    </row>
    <row r="162" spans="1:6" ht="15">
      <c r="A162" s="501"/>
      <c r="B162" s="500"/>
      <c r="C162" s="499"/>
      <c r="D162" s="499"/>
      <c r="E162" s="499"/>
      <c r="F162" s="499"/>
    </row>
    <row r="163" spans="1:6" ht="15">
      <c r="A163" s="501"/>
      <c r="B163" s="500"/>
      <c r="C163" s="499"/>
      <c r="D163" s="499"/>
      <c r="E163" s="499"/>
      <c r="F163" s="499"/>
    </row>
    <row r="164" spans="1:6" ht="15">
      <c r="A164" s="501"/>
      <c r="B164" s="500"/>
      <c r="C164" s="499"/>
      <c r="D164" s="499"/>
      <c r="E164" s="499"/>
      <c r="F164" s="499"/>
    </row>
    <row r="165" spans="1:6" ht="15">
      <c r="A165" s="501"/>
      <c r="B165" s="500"/>
      <c r="C165" s="499"/>
      <c r="D165" s="499"/>
      <c r="E165" s="499"/>
      <c r="F165" s="499"/>
    </row>
    <row r="166" spans="1:6" ht="15">
      <c r="A166" s="501"/>
      <c r="B166" s="500"/>
      <c r="C166" s="499"/>
      <c r="D166" s="499"/>
      <c r="E166" s="499"/>
      <c r="F166" s="499"/>
    </row>
    <row r="167" spans="1:6" ht="15">
      <c r="A167" s="501"/>
      <c r="B167" s="500"/>
      <c r="C167" s="499"/>
      <c r="D167" s="499"/>
      <c r="E167" s="499"/>
      <c r="F167" s="499"/>
    </row>
    <row r="168" spans="1:6" ht="15">
      <c r="A168" s="501"/>
      <c r="B168" s="500"/>
      <c r="C168" s="499"/>
      <c r="D168" s="499"/>
      <c r="E168" s="499"/>
      <c r="F168" s="499"/>
    </row>
    <row r="169" spans="1:6" ht="15">
      <c r="A169" s="501"/>
      <c r="B169" s="500"/>
      <c r="C169" s="499"/>
      <c r="D169" s="499"/>
      <c r="E169" s="499"/>
      <c r="F169" s="499"/>
    </row>
    <row r="170" spans="1:6" ht="15">
      <c r="A170" s="501"/>
      <c r="B170" s="500"/>
      <c r="C170" s="499"/>
      <c r="D170" s="499"/>
      <c r="E170" s="499"/>
      <c r="F170" s="499"/>
    </row>
    <row r="171" spans="1:6" ht="15">
      <c r="A171" s="501"/>
      <c r="B171" s="500"/>
      <c r="C171" s="499"/>
      <c r="D171" s="499"/>
      <c r="E171" s="499"/>
      <c r="F171" s="499"/>
    </row>
    <row r="172" spans="1:6" ht="15">
      <c r="A172" s="501"/>
      <c r="B172" s="500"/>
      <c r="C172" s="499"/>
      <c r="D172" s="499"/>
      <c r="E172" s="499"/>
      <c r="F172" s="499"/>
    </row>
    <row r="173" spans="1:6" ht="15">
      <c r="A173" s="501"/>
      <c r="B173" s="500"/>
      <c r="C173" s="499"/>
      <c r="D173" s="499"/>
      <c r="E173" s="499"/>
      <c r="F173" s="499"/>
    </row>
    <row r="174" spans="1:6" ht="15">
      <c r="A174" s="501"/>
      <c r="B174" s="500"/>
      <c r="C174" s="499"/>
      <c r="D174" s="499"/>
      <c r="E174" s="499"/>
      <c r="F174" s="499"/>
    </row>
    <row r="175" spans="1:6" ht="15">
      <c r="A175" s="501"/>
      <c r="B175" s="500"/>
      <c r="C175" s="499"/>
      <c r="D175" s="499"/>
      <c r="E175" s="499"/>
      <c r="F175" s="499"/>
    </row>
    <row r="176" spans="1:6" ht="15">
      <c r="A176" s="501"/>
      <c r="B176" s="500"/>
      <c r="C176" s="499"/>
      <c r="D176" s="499"/>
      <c r="E176" s="499"/>
      <c r="F176" s="499"/>
    </row>
    <row r="177" spans="1:6" ht="15">
      <c r="A177" s="501"/>
      <c r="B177" s="500"/>
      <c r="C177" s="499"/>
      <c r="D177" s="499"/>
      <c r="E177" s="499"/>
      <c r="F177" s="499"/>
    </row>
    <row r="178" spans="1:6" ht="15">
      <c r="A178" s="501"/>
      <c r="B178" s="500"/>
      <c r="C178" s="499"/>
      <c r="D178" s="499"/>
      <c r="E178" s="499"/>
      <c r="F178" s="499"/>
    </row>
    <row r="179" spans="1:6" ht="15">
      <c r="A179" s="501"/>
      <c r="B179" s="500"/>
      <c r="C179" s="499"/>
      <c r="D179" s="499"/>
      <c r="E179" s="499"/>
      <c r="F179" s="499"/>
    </row>
    <row r="180" spans="1:6" ht="15">
      <c r="A180" s="501"/>
      <c r="B180" s="500"/>
      <c r="C180" s="499"/>
      <c r="D180" s="499"/>
      <c r="E180" s="499"/>
      <c r="F180" s="499"/>
    </row>
    <row r="181" spans="1:6" ht="15">
      <c r="A181" s="501"/>
      <c r="B181" s="500"/>
      <c r="C181" s="499"/>
      <c r="D181" s="499"/>
      <c r="E181" s="499"/>
      <c r="F181" s="499"/>
    </row>
    <row r="182" spans="1:6" ht="15">
      <c r="A182" s="501"/>
      <c r="B182" s="500"/>
      <c r="C182" s="499"/>
      <c r="D182" s="499"/>
      <c r="E182" s="499"/>
      <c r="F182" s="499"/>
    </row>
    <row r="183" spans="1:6" ht="15">
      <c r="A183" s="501"/>
      <c r="B183" s="500"/>
      <c r="C183" s="499"/>
      <c r="D183" s="499"/>
      <c r="E183" s="499"/>
      <c r="F183" s="499"/>
    </row>
    <row r="184" spans="1:6" ht="15">
      <c r="A184" s="501"/>
      <c r="B184" s="500"/>
      <c r="C184" s="499"/>
      <c r="D184" s="499"/>
      <c r="E184" s="499"/>
      <c r="F184" s="499"/>
    </row>
    <row r="185" spans="1:6" ht="15">
      <c r="A185" s="501"/>
      <c r="B185" s="500"/>
      <c r="C185" s="499"/>
      <c r="D185" s="499"/>
      <c r="E185" s="499"/>
      <c r="F185" s="499"/>
    </row>
    <row r="186" spans="1:6" ht="15">
      <c r="A186" s="501"/>
      <c r="B186" s="500"/>
      <c r="C186" s="499"/>
      <c r="D186" s="499"/>
      <c r="E186" s="499"/>
      <c r="F186" s="499"/>
    </row>
    <row r="187" spans="1:6" ht="15">
      <c r="A187" s="501"/>
      <c r="B187" s="500"/>
      <c r="C187" s="499"/>
      <c r="D187" s="499"/>
      <c r="E187" s="499"/>
      <c r="F187" s="499"/>
    </row>
    <row r="188" spans="1:6" ht="15">
      <c r="A188" s="501"/>
      <c r="B188" s="500"/>
      <c r="C188" s="499"/>
      <c r="D188" s="499"/>
      <c r="E188" s="499"/>
      <c r="F188" s="499"/>
    </row>
    <row r="189" spans="1:6" ht="15">
      <c r="A189" s="501"/>
      <c r="B189" s="500"/>
      <c r="C189" s="499"/>
      <c r="D189" s="499"/>
      <c r="E189" s="499"/>
      <c r="F189" s="499"/>
    </row>
    <row r="190" spans="1:6" ht="15">
      <c r="A190" s="501"/>
      <c r="B190" s="500"/>
      <c r="C190" s="499"/>
      <c r="D190" s="499"/>
      <c r="E190" s="499"/>
      <c r="F190" s="499"/>
    </row>
    <row r="191" spans="1:6" ht="15">
      <c r="A191" s="501"/>
      <c r="B191" s="500"/>
      <c r="C191" s="499"/>
      <c r="D191" s="499"/>
      <c r="E191" s="499"/>
      <c r="F191" s="499"/>
    </row>
    <row r="192" spans="1:6" ht="15">
      <c r="A192" s="501"/>
      <c r="B192" s="500"/>
      <c r="C192" s="499"/>
      <c r="D192" s="499"/>
      <c r="E192" s="499"/>
      <c r="F192" s="499"/>
    </row>
    <row r="193" spans="1:6" ht="15">
      <c r="A193" s="501"/>
      <c r="B193" s="500"/>
      <c r="C193" s="499"/>
      <c r="D193" s="499"/>
      <c r="E193" s="499"/>
      <c r="F193" s="499"/>
    </row>
    <row r="194" spans="1:6" ht="15">
      <c r="A194" s="501"/>
      <c r="B194" s="500"/>
      <c r="C194" s="499"/>
      <c r="D194" s="499"/>
      <c r="E194" s="499"/>
      <c r="F194" s="499"/>
    </row>
    <row r="195" spans="1:6" ht="15">
      <c r="A195" s="501"/>
      <c r="B195" s="500"/>
      <c r="C195" s="499"/>
      <c r="D195" s="499"/>
      <c r="E195" s="499"/>
      <c r="F195" s="499"/>
    </row>
    <row r="196" spans="1:6" ht="15">
      <c r="A196" s="501"/>
      <c r="B196" s="500"/>
      <c r="C196" s="499"/>
      <c r="D196" s="499"/>
      <c r="E196" s="499"/>
      <c r="F196" s="499"/>
    </row>
    <row r="197" spans="1:6" ht="15">
      <c r="A197" s="501"/>
      <c r="B197" s="500"/>
      <c r="C197" s="499"/>
      <c r="D197" s="499"/>
      <c r="E197" s="499"/>
      <c r="F197" s="499"/>
    </row>
    <row r="198" spans="1:6" ht="15">
      <c r="A198" s="501"/>
      <c r="B198" s="500"/>
      <c r="C198" s="499"/>
      <c r="D198" s="499"/>
      <c r="E198" s="499"/>
      <c r="F198" s="499"/>
    </row>
    <row r="199" spans="1:6" ht="15">
      <c r="A199" s="501"/>
      <c r="B199" s="500"/>
      <c r="C199" s="499"/>
      <c r="D199" s="499"/>
      <c r="E199" s="499"/>
      <c r="F199" s="499"/>
    </row>
    <row r="200" spans="1:6" ht="15">
      <c r="A200" s="501"/>
      <c r="B200" s="500"/>
      <c r="C200" s="499"/>
      <c r="D200" s="499"/>
      <c r="E200" s="499"/>
      <c r="F200" s="499"/>
    </row>
    <row r="201" spans="1:6" ht="15">
      <c r="A201" s="501"/>
      <c r="B201" s="500"/>
      <c r="C201" s="499"/>
      <c r="D201" s="499"/>
      <c r="E201" s="499"/>
      <c r="F201" s="499"/>
    </row>
    <row r="202" spans="1:6" ht="15">
      <c r="A202" s="501"/>
      <c r="B202" s="500"/>
      <c r="C202" s="499"/>
      <c r="D202" s="499"/>
      <c r="E202" s="499"/>
      <c r="F202" s="499"/>
    </row>
    <row r="203" spans="1:6" ht="15">
      <c r="A203" s="501"/>
      <c r="B203" s="500"/>
      <c r="C203" s="499"/>
      <c r="D203" s="499"/>
      <c r="E203" s="499"/>
      <c r="F203" s="499"/>
    </row>
    <row r="204" spans="1:6" ht="15">
      <c r="A204" s="501"/>
      <c r="B204" s="500"/>
      <c r="C204" s="499"/>
      <c r="D204" s="499"/>
      <c r="E204" s="499"/>
      <c r="F204" s="499"/>
    </row>
    <row r="205" spans="1:6" ht="15">
      <c r="A205" s="501"/>
      <c r="B205" s="500"/>
      <c r="C205" s="499"/>
      <c r="D205" s="499"/>
      <c r="E205" s="499"/>
      <c r="F205" s="499"/>
    </row>
    <row r="206" spans="1:6" ht="15">
      <c r="A206" s="501"/>
      <c r="B206" s="500"/>
      <c r="C206" s="499"/>
      <c r="D206" s="499"/>
      <c r="E206" s="499"/>
      <c r="F206" s="499"/>
    </row>
    <row r="207" spans="1:6" ht="15">
      <c r="A207" s="501"/>
      <c r="B207" s="500"/>
      <c r="C207" s="499"/>
      <c r="D207" s="499"/>
      <c r="E207" s="499"/>
      <c r="F207" s="499"/>
    </row>
    <row r="208" spans="1:6" ht="15">
      <c r="A208" s="501"/>
      <c r="B208" s="500"/>
      <c r="C208" s="499"/>
      <c r="D208" s="499"/>
      <c r="E208" s="499"/>
      <c r="F208" s="499"/>
    </row>
    <row r="209" spans="1:6" ht="15">
      <c r="A209" s="501"/>
      <c r="B209" s="500"/>
      <c r="C209" s="499"/>
      <c r="D209" s="499"/>
      <c r="E209" s="499"/>
      <c r="F209" s="499"/>
    </row>
    <row r="210" spans="1:6" ht="15">
      <c r="A210" s="501"/>
      <c r="B210" s="500"/>
      <c r="C210" s="499"/>
      <c r="D210" s="499"/>
      <c r="E210" s="499"/>
      <c r="F210" s="499"/>
    </row>
    <row r="211" spans="1:6" ht="15">
      <c r="A211" s="501"/>
      <c r="B211" s="500"/>
      <c r="C211" s="499"/>
      <c r="D211" s="499"/>
      <c r="E211" s="499"/>
      <c r="F211" s="499"/>
    </row>
    <row r="212" spans="1:6" ht="15">
      <c r="A212" s="501"/>
      <c r="B212" s="500"/>
      <c r="C212" s="499"/>
      <c r="D212" s="499"/>
      <c r="E212" s="499"/>
      <c r="F212" s="499"/>
    </row>
    <row r="213" spans="1:6" ht="15">
      <c r="A213" s="501"/>
      <c r="B213" s="500"/>
      <c r="C213" s="499"/>
      <c r="D213" s="499"/>
      <c r="E213" s="499"/>
      <c r="F213" s="499"/>
    </row>
    <row r="214" spans="1:6" ht="15">
      <c r="A214" s="501"/>
      <c r="B214" s="500"/>
      <c r="C214" s="499"/>
      <c r="D214" s="499"/>
      <c r="E214" s="499"/>
      <c r="F214" s="499"/>
    </row>
    <row r="215" spans="1:6" ht="15">
      <c r="A215" s="501"/>
      <c r="B215" s="500"/>
      <c r="C215" s="499"/>
      <c r="D215" s="499"/>
      <c r="E215" s="499"/>
      <c r="F215" s="499"/>
    </row>
    <row r="216" spans="1:6" ht="15">
      <c r="A216" s="501"/>
      <c r="B216" s="500"/>
      <c r="C216" s="499"/>
      <c r="D216" s="499"/>
      <c r="E216" s="499"/>
      <c r="F216" s="499"/>
    </row>
    <row r="217" spans="1:6" ht="15">
      <c r="A217" s="501"/>
      <c r="B217" s="500"/>
      <c r="C217" s="499"/>
      <c r="D217" s="499"/>
      <c r="E217" s="499"/>
      <c r="F217" s="499"/>
    </row>
    <row r="218" spans="1:6" ht="15">
      <c r="A218" s="501"/>
      <c r="B218" s="500"/>
      <c r="C218" s="499"/>
      <c r="D218" s="499"/>
      <c r="E218" s="499"/>
      <c r="F218" s="499"/>
    </row>
    <row r="219" spans="1:6" ht="15">
      <c r="A219" s="501"/>
      <c r="B219" s="500"/>
      <c r="C219" s="499"/>
      <c r="D219" s="499"/>
      <c r="E219" s="499"/>
      <c r="F219" s="499"/>
    </row>
    <row r="220" spans="1:6" ht="15">
      <c r="A220" s="501"/>
      <c r="B220" s="500"/>
      <c r="C220" s="499"/>
      <c r="D220" s="499"/>
      <c r="E220" s="499"/>
      <c r="F220" s="499"/>
    </row>
    <row r="221" spans="1:6" ht="15">
      <c r="A221" s="501"/>
      <c r="B221" s="500"/>
      <c r="C221" s="499"/>
      <c r="D221" s="499"/>
      <c r="E221" s="499"/>
      <c r="F221" s="499"/>
    </row>
    <row r="222" spans="1:6" ht="15">
      <c r="A222" s="501"/>
      <c r="B222" s="500"/>
      <c r="C222" s="499"/>
      <c r="D222" s="499"/>
      <c r="E222" s="499"/>
      <c r="F222" s="499"/>
    </row>
    <row r="223" spans="1:6" ht="15">
      <c r="A223" s="501"/>
      <c r="B223" s="500"/>
      <c r="C223" s="499"/>
      <c r="D223" s="499"/>
      <c r="E223" s="499"/>
      <c r="F223" s="499"/>
    </row>
    <row r="224" spans="1:6" ht="15">
      <c r="A224" s="501"/>
      <c r="B224" s="500"/>
      <c r="C224" s="499"/>
      <c r="D224" s="499"/>
      <c r="E224" s="499"/>
      <c r="F224" s="499"/>
    </row>
    <row r="225" spans="1:6" ht="15">
      <c r="A225" s="501"/>
      <c r="B225" s="500"/>
      <c r="C225" s="499"/>
      <c r="D225" s="499"/>
      <c r="E225" s="499"/>
      <c r="F225" s="499"/>
    </row>
    <row r="226" spans="1:6" ht="15">
      <c r="A226" s="501"/>
      <c r="B226" s="500"/>
      <c r="C226" s="499"/>
      <c r="D226" s="499"/>
      <c r="E226" s="499"/>
      <c r="F226" s="499"/>
    </row>
    <row r="227" spans="1:6" ht="15">
      <c r="A227" s="501"/>
      <c r="B227" s="500"/>
      <c r="C227" s="499"/>
      <c r="D227" s="499"/>
      <c r="E227" s="499"/>
      <c r="F227" s="499"/>
    </row>
    <row r="228" spans="1:6" ht="15">
      <c r="A228" s="501"/>
      <c r="B228" s="500"/>
      <c r="C228" s="499"/>
      <c r="D228" s="499"/>
      <c r="E228" s="499"/>
      <c r="F228" s="499"/>
    </row>
    <row r="229" spans="1:6" ht="15">
      <c r="A229" s="501"/>
      <c r="B229" s="500"/>
      <c r="C229" s="499"/>
      <c r="D229" s="499"/>
      <c r="E229" s="499"/>
      <c r="F229" s="499"/>
    </row>
    <row r="230" spans="1:6" ht="15">
      <c r="A230" s="501"/>
      <c r="B230" s="500"/>
      <c r="C230" s="499"/>
      <c r="D230" s="499"/>
      <c r="E230" s="499"/>
      <c r="F230" s="499"/>
    </row>
    <row r="231" spans="1:6" ht="15">
      <c r="A231" s="501"/>
      <c r="B231" s="500"/>
      <c r="C231" s="499"/>
      <c r="D231" s="499"/>
      <c r="E231" s="499"/>
      <c r="F231" s="499"/>
    </row>
    <row r="232" spans="1:6" ht="15">
      <c r="A232" s="501"/>
      <c r="B232" s="500"/>
      <c r="C232" s="499"/>
      <c r="D232" s="499"/>
      <c r="E232" s="499"/>
      <c r="F232" s="499"/>
    </row>
    <row r="233" spans="1:6" ht="15">
      <c r="A233" s="501"/>
      <c r="B233" s="500"/>
      <c r="C233" s="499"/>
      <c r="D233" s="499"/>
      <c r="E233" s="499"/>
      <c r="F233" s="499"/>
    </row>
    <row r="234" spans="1:6" ht="15">
      <c r="A234" s="501"/>
      <c r="B234" s="500"/>
      <c r="C234" s="499"/>
      <c r="D234" s="499"/>
      <c r="E234" s="499"/>
      <c r="F234" s="499"/>
    </row>
    <row r="235" spans="1:6" ht="15">
      <c r="A235" s="501"/>
      <c r="B235" s="500"/>
      <c r="C235" s="499"/>
      <c r="D235" s="499"/>
      <c r="E235" s="499"/>
      <c r="F235" s="499"/>
    </row>
    <row r="236" spans="1:6" ht="15">
      <c r="A236" s="501"/>
      <c r="B236" s="500"/>
      <c r="C236" s="499"/>
      <c r="D236" s="499"/>
      <c r="E236" s="499"/>
      <c r="F236" s="499"/>
    </row>
    <row r="237" spans="1:6" ht="15">
      <c r="A237" s="501"/>
      <c r="B237" s="500"/>
      <c r="C237" s="499"/>
      <c r="D237" s="499"/>
      <c r="E237" s="499"/>
      <c r="F237" s="499"/>
    </row>
    <row r="238" spans="1:6" ht="15">
      <c r="A238" s="501"/>
      <c r="B238" s="500"/>
      <c r="C238" s="499"/>
      <c r="D238" s="499"/>
      <c r="E238" s="499"/>
      <c r="F238" s="499"/>
    </row>
    <row r="239" spans="1:6" ht="15">
      <c r="A239" s="501"/>
      <c r="B239" s="500"/>
      <c r="C239" s="499"/>
      <c r="D239" s="499"/>
      <c r="E239" s="499"/>
      <c r="F239" s="499"/>
    </row>
    <row r="240" spans="1:6" ht="15">
      <c r="A240" s="501"/>
      <c r="B240" s="500"/>
      <c r="C240" s="499"/>
      <c r="D240" s="499"/>
      <c r="E240" s="499"/>
      <c r="F240" s="499"/>
    </row>
    <row r="241" spans="1:6" ht="15">
      <c r="A241" s="501"/>
      <c r="B241" s="500"/>
      <c r="C241" s="499"/>
      <c r="D241" s="499"/>
      <c r="E241" s="499"/>
      <c r="F241" s="499"/>
    </row>
    <row r="242" spans="1:6" ht="15">
      <c r="A242" s="501"/>
      <c r="B242" s="500"/>
      <c r="C242" s="499"/>
      <c r="D242" s="499"/>
      <c r="E242" s="499"/>
      <c r="F242" s="499"/>
    </row>
    <row r="243" spans="1:6" ht="15">
      <c r="A243" s="501"/>
      <c r="B243" s="500"/>
      <c r="C243" s="499"/>
      <c r="D243" s="499"/>
      <c r="E243" s="499"/>
      <c r="F243" s="499"/>
    </row>
    <row r="244" spans="1:6" ht="15">
      <c r="A244" s="501"/>
      <c r="B244" s="500"/>
      <c r="C244" s="499"/>
      <c r="D244" s="499"/>
      <c r="E244" s="499"/>
      <c r="F244" s="499"/>
    </row>
    <row r="245" spans="1:6" ht="15">
      <c r="A245" s="501"/>
      <c r="B245" s="500"/>
      <c r="C245" s="499"/>
      <c r="D245" s="499"/>
      <c r="E245" s="499"/>
      <c r="F245" s="499"/>
    </row>
    <row r="246" spans="1:6" ht="15">
      <c r="A246" s="501"/>
      <c r="B246" s="500"/>
      <c r="C246" s="499"/>
      <c r="D246" s="499"/>
      <c r="E246" s="499"/>
      <c r="F246" s="499"/>
    </row>
    <row r="247" spans="1:6" ht="15">
      <c r="A247" s="501"/>
      <c r="B247" s="500"/>
      <c r="C247" s="499"/>
      <c r="D247" s="499"/>
      <c r="E247" s="499"/>
      <c r="F247" s="499"/>
    </row>
    <row r="248" spans="1:6" ht="15">
      <c r="A248" s="501"/>
      <c r="B248" s="500"/>
      <c r="C248" s="499"/>
      <c r="D248" s="499"/>
      <c r="E248" s="499"/>
      <c r="F248" s="499"/>
    </row>
    <row r="249" spans="1:6" ht="15">
      <c r="A249" s="501"/>
      <c r="B249" s="500"/>
      <c r="C249" s="499"/>
      <c r="D249" s="499"/>
      <c r="E249" s="499"/>
      <c r="F249" s="499"/>
    </row>
    <row r="250" spans="1:6" ht="15">
      <c r="A250" s="501"/>
      <c r="B250" s="500"/>
      <c r="C250" s="499"/>
      <c r="D250" s="499"/>
      <c r="E250" s="499"/>
      <c r="F250" s="499"/>
    </row>
    <row r="251" spans="1:6" ht="15">
      <c r="A251" s="501"/>
      <c r="B251" s="500"/>
      <c r="C251" s="499"/>
      <c r="D251" s="499"/>
      <c r="E251" s="499"/>
      <c r="F251" s="499"/>
    </row>
    <row r="252" spans="1:6" ht="15">
      <c r="A252" s="501"/>
      <c r="B252" s="500"/>
      <c r="C252" s="499"/>
      <c r="D252" s="499"/>
      <c r="E252" s="499"/>
      <c r="F252" s="499"/>
    </row>
    <row r="253" spans="1:6" ht="15">
      <c r="A253" s="501"/>
      <c r="B253" s="500"/>
      <c r="C253" s="499"/>
      <c r="D253" s="499"/>
      <c r="E253" s="499"/>
      <c r="F253" s="499"/>
    </row>
    <row r="254" spans="1:6" ht="15">
      <c r="A254" s="501"/>
      <c r="B254" s="500"/>
      <c r="C254" s="499"/>
      <c r="D254" s="499"/>
      <c r="E254" s="499"/>
      <c r="F254" s="499"/>
    </row>
    <row r="255" spans="1:6" ht="15">
      <c r="A255" s="501"/>
      <c r="B255" s="500"/>
      <c r="C255" s="499"/>
      <c r="D255" s="499"/>
      <c r="E255" s="499"/>
      <c r="F255" s="499"/>
    </row>
    <row r="256" spans="1:6" ht="15">
      <c r="A256" s="501"/>
      <c r="B256" s="500"/>
      <c r="C256" s="499"/>
      <c r="D256" s="499"/>
      <c r="E256" s="499"/>
      <c r="F256" s="499"/>
    </row>
    <row r="257" spans="1:6" ht="15">
      <c r="A257" s="501"/>
      <c r="B257" s="500"/>
      <c r="C257" s="499"/>
      <c r="D257" s="499"/>
      <c r="E257" s="499"/>
      <c r="F257" s="499"/>
    </row>
    <row r="258" spans="1:6" ht="15">
      <c r="A258" s="501"/>
      <c r="B258" s="500"/>
      <c r="C258" s="499"/>
      <c r="D258" s="499"/>
      <c r="E258" s="499"/>
      <c r="F258" s="499"/>
    </row>
    <row r="259" spans="1:6" ht="15">
      <c r="A259" s="501"/>
      <c r="B259" s="500"/>
      <c r="C259" s="499"/>
      <c r="D259" s="499"/>
      <c r="E259" s="499"/>
      <c r="F259" s="499"/>
    </row>
    <row r="260" spans="1:6" ht="15">
      <c r="A260" s="501"/>
      <c r="B260" s="500"/>
      <c r="C260" s="499"/>
      <c r="D260" s="499"/>
      <c r="E260" s="499"/>
      <c r="F260" s="499"/>
    </row>
    <row r="261" spans="1:6" ht="15">
      <c r="A261" s="501"/>
      <c r="B261" s="500"/>
      <c r="C261" s="499"/>
      <c r="D261" s="499"/>
      <c r="E261" s="499"/>
      <c r="F261" s="499"/>
    </row>
    <row r="262" spans="1:6" ht="15">
      <c r="A262" s="501"/>
      <c r="B262" s="500"/>
      <c r="C262" s="499"/>
      <c r="D262" s="499"/>
      <c r="E262" s="499"/>
      <c r="F262" s="499"/>
    </row>
    <row r="263" spans="1:6" ht="15">
      <c r="A263" s="501"/>
      <c r="B263" s="500"/>
      <c r="C263" s="499"/>
      <c r="D263" s="499"/>
      <c r="E263" s="499"/>
      <c r="F263" s="499"/>
    </row>
    <row r="264" spans="1:6" ht="15">
      <c r="A264" s="501"/>
      <c r="B264" s="500"/>
      <c r="C264" s="499"/>
      <c r="D264" s="499"/>
      <c r="E264" s="499"/>
      <c r="F264" s="499"/>
    </row>
    <row r="265" spans="1:6" ht="15">
      <c r="A265" s="501"/>
      <c r="B265" s="500"/>
      <c r="C265" s="499"/>
      <c r="D265" s="499"/>
      <c r="E265" s="499"/>
      <c r="F265" s="499"/>
    </row>
    <row r="266" spans="1:6" ht="15">
      <c r="A266" s="501"/>
      <c r="B266" s="500"/>
      <c r="C266" s="499"/>
      <c r="D266" s="499"/>
      <c r="E266" s="499"/>
      <c r="F266" s="499"/>
    </row>
    <row r="267" spans="1:6" ht="15">
      <c r="A267" s="501"/>
      <c r="B267" s="500"/>
      <c r="C267" s="499"/>
      <c r="D267" s="499"/>
      <c r="E267" s="499"/>
      <c r="F267" s="499"/>
    </row>
    <row r="268" spans="1:6" ht="15">
      <c r="A268" s="501"/>
      <c r="B268" s="500"/>
      <c r="C268" s="499"/>
      <c r="D268" s="499"/>
      <c r="E268" s="499"/>
      <c r="F268" s="499"/>
    </row>
    <row r="269" spans="1:6" ht="15">
      <c r="A269" s="501"/>
      <c r="B269" s="500"/>
      <c r="C269" s="499"/>
      <c r="D269" s="499"/>
      <c r="E269" s="499"/>
      <c r="F269" s="499"/>
    </row>
    <row r="270" spans="1:6" ht="15">
      <c r="A270" s="501"/>
      <c r="B270" s="500"/>
      <c r="C270" s="499"/>
      <c r="D270" s="499"/>
      <c r="E270" s="499"/>
      <c r="F270" s="499"/>
    </row>
    <row r="271" spans="1:6" ht="15">
      <c r="A271" s="501"/>
      <c r="B271" s="500"/>
      <c r="C271" s="499"/>
      <c r="D271" s="499"/>
      <c r="E271" s="499"/>
      <c r="F271" s="499"/>
    </row>
    <row r="272" spans="1:6" ht="15">
      <c r="A272" s="501"/>
      <c r="B272" s="500"/>
      <c r="C272" s="499"/>
      <c r="D272" s="499"/>
      <c r="E272" s="499"/>
      <c r="F272" s="499"/>
    </row>
    <row r="273" spans="1:6" ht="15">
      <c r="A273" s="501"/>
      <c r="B273" s="500"/>
      <c r="C273" s="499"/>
      <c r="D273" s="499"/>
      <c r="E273" s="499"/>
      <c r="F273" s="499"/>
    </row>
    <row r="274" spans="1:6" ht="15">
      <c r="A274" s="501"/>
      <c r="B274" s="500"/>
      <c r="C274" s="499"/>
      <c r="D274" s="499"/>
      <c r="E274" s="499"/>
      <c r="F274" s="499"/>
    </row>
    <row r="275" spans="1:6" ht="15">
      <c r="A275" s="501"/>
      <c r="B275" s="500"/>
      <c r="C275" s="499"/>
      <c r="D275" s="499"/>
      <c r="E275" s="499"/>
      <c r="F275" s="499"/>
    </row>
    <row r="276" spans="1:6" ht="15">
      <c r="A276" s="501"/>
      <c r="B276" s="500"/>
      <c r="C276" s="499"/>
      <c r="D276" s="499"/>
      <c r="E276" s="499"/>
      <c r="F276" s="499"/>
    </row>
    <row r="277" spans="1:6" ht="15">
      <c r="A277" s="501"/>
      <c r="B277" s="500"/>
      <c r="C277" s="499"/>
      <c r="D277" s="499"/>
      <c r="E277" s="499"/>
      <c r="F277" s="499"/>
    </row>
    <row r="278" spans="1:6" ht="15">
      <c r="A278" s="501"/>
      <c r="B278" s="500"/>
      <c r="C278" s="499"/>
      <c r="D278" s="499"/>
      <c r="E278" s="499"/>
      <c r="F278" s="499"/>
    </row>
    <row r="279" spans="1:6" ht="15">
      <c r="A279" s="501"/>
      <c r="B279" s="500"/>
      <c r="C279" s="499"/>
      <c r="D279" s="499"/>
      <c r="E279" s="499"/>
      <c r="F279" s="499"/>
    </row>
    <row r="280" spans="1:6" ht="15">
      <c r="A280" s="501"/>
      <c r="B280" s="500"/>
      <c r="C280" s="499"/>
      <c r="D280" s="499"/>
      <c r="E280" s="499"/>
      <c r="F280" s="499"/>
    </row>
    <row r="281" spans="1:6" ht="15">
      <c r="A281" s="501"/>
      <c r="B281" s="500"/>
      <c r="C281" s="499"/>
      <c r="D281" s="499"/>
      <c r="E281" s="499"/>
      <c r="F281" s="499"/>
    </row>
    <row r="282" spans="1:6" ht="15">
      <c r="A282" s="501"/>
      <c r="B282" s="500"/>
      <c r="C282" s="499"/>
      <c r="D282" s="499"/>
      <c r="E282" s="499"/>
      <c r="F282" s="499"/>
    </row>
    <row r="283" spans="1:6" ht="15">
      <c r="A283" s="501"/>
      <c r="B283" s="500"/>
      <c r="C283" s="499"/>
      <c r="D283" s="499"/>
      <c r="E283" s="499"/>
      <c r="F283" s="499"/>
    </row>
    <row r="284" spans="1:6" ht="15">
      <c r="A284" s="501"/>
      <c r="B284" s="500"/>
      <c r="C284" s="499"/>
      <c r="D284" s="499"/>
      <c r="E284" s="499"/>
      <c r="F284" s="499"/>
    </row>
    <row r="285" spans="1:6" ht="15">
      <c r="A285" s="501"/>
      <c r="B285" s="500"/>
      <c r="C285" s="499"/>
      <c r="D285" s="499"/>
      <c r="E285" s="499"/>
      <c r="F285" s="499"/>
    </row>
    <row r="286" spans="1:6" ht="15">
      <c r="A286" s="501"/>
      <c r="B286" s="500"/>
      <c r="C286" s="499"/>
      <c r="D286" s="499"/>
      <c r="E286" s="499"/>
      <c r="F286" s="499"/>
    </row>
    <row r="287" spans="1:6" ht="15">
      <c r="A287" s="501"/>
      <c r="B287" s="500"/>
      <c r="C287" s="499"/>
      <c r="D287" s="499"/>
      <c r="E287" s="499"/>
      <c r="F287" s="499"/>
    </row>
    <row r="288" spans="1:6" ht="15">
      <c r="A288" s="501"/>
      <c r="B288" s="500"/>
      <c r="C288" s="499"/>
      <c r="D288" s="499"/>
      <c r="E288" s="499"/>
      <c r="F288" s="499"/>
    </row>
    <row r="289" spans="1:6" ht="15">
      <c r="A289" s="501"/>
      <c r="B289" s="500"/>
      <c r="C289" s="499"/>
      <c r="D289" s="499"/>
      <c r="E289" s="499"/>
      <c r="F289" s="499"/>
    </row>
    <row r="290" spans="1:6" ht="15">
      <c r="A290" s="501"/>
      <c r="B290" s="500"/>
      <c r="C290" s="499"/>
      <c r="D290" s="499"/>
      <c r="E290" s="499"/>
      <c r="F290" s="499"/>
    </row>
    <row r="291" spans="1:6" ht="15">
      <c r="A291" s="501"/>
      <c r="B291" s="500"/>
      <c r="C291" s="499"/>
      <c r="D291" s="499"/>
      <c r="E291" s="499"/>
      <c r="F291" s="499"/>
    </row>
    <row r="292" spans="1:6" ht="15">
      <c r="A292" s="501"/>
      <c r="B292" s="500"/>
      <c r="C292" s="499"/>
      <c r="D292" s="499"/>
      <c r="E292" s="499"/>
      <c r="F292" s="499"/>
    </row>
    <row r="293" spans="1:6" ht="15">
      <c r="A293" s="501"/>
      <c r="B293" s="500"/>
      <c r="C293" s="499"/>
      <c r="D293" s="499"/>
      <c r="E293" s="499"/>
      <c r="F293" s="499"/>
    </row>
    <row r="294" spans="1:6" ht="15">
      <c r="A294" s="501"/>
      <c r="B294" s="500"/>
      <c r="C294" s="499"/>
      <c r="D294" s="499"/>
      <c r="E294" s="499"/>
      <c r="F294" s="499"/>
    </row>
    <row r="295" spans="1:6" ht="15">
      <c r="A295" s="501"/>
      <c r="B295" s="500"/>
      <c r="C295" s="499"/>
      <c r="D295" s="499"/>
      <c r="E295" s="499"/>
      <c r="F295" s="499"/>
    </row>
    <row r="296" spans="1:6" ht="15">
      <c r="A296" s="501"/>
      <c r="B296" s="500"/>
      <c r="C296" s="499"/>
      <c r="D296" s="499"/>
      <c r="E296" s="499"/>
      <c r="F296" s="499"/>
    </row>
    <row r="297" spans="1:6" ht="15">
      <c r="A297" s="501"/>
      <c r="B297" s="500"/>
      <c r="C297" s="499"/>
      <c r="D297" s="499"/>
      <c r="E297" s="499"/>
      <c r="F297" s="499"/>
    </row>
    <row r="298" spans="1:6" ht="15">
      <c r="A298" s="501"/>
      <c r="B298" s="500"/>
      <c r="C298" s="499"/>
      <c r="D298" s="499"/>
      <c r="E298" s="499"/>
      <c r="F298" s="499"/>
    </row>
    <row r="299" spans="1:6" ht="15">
      <c r="A299" s="501"/>
      <c r="B299" s="500"/>
      <c r="C299" s="499"/>
      <c r="D299" s="499"/>
      <c r="E299" s="499"/>
      <c r="F299" s="499"/>
    </row>
    <row r="300" spans="1:6" ht="15">
      <c r="A300" s="501"/>
      <c r="B300" s="500"/>
      <c r="C300" s="499"/>
      <c r="D300" s="499"/>
      <c r="E300" s="499"/>
      <c r="F300" s="499"/>
    </row>
    <row r="301" spans="1:6" ht="15">
      <c r="A301" s="501"/>
      <c r="B301" s="500"/>
      <c r="C301" s="499"/>
      <c r="D301" s="499"/>
      <c r="E301" s="499"/>
      <c r="F301" s="499"/>
    </row>
    <row r="302" spans="1:6" ht="15">
      <c r="A302" s="501"/>
      <c r="B302" s="500"/>
      <c r="C302" s="499"/>
      <c r="D302" s="499"/>
      <c r="E302" s="499"/>
      <c r="F302" s="499"/>
    </row>
    <row r="303" spans="1:6" ht="15">
      <c r="A303" s="501"/>
      <c r="B303" s="500"/>
      <c r="C303" s="499"/>
      <c r="D303" s="499"/>
      <c r="E303" s="499"/>
      <c r="F303" s="499"/>
    </row>
    <row r="304" spans="1:6" ht="15">
      <c r="A304" s="501"/>
      <c r="B304" s="500"/>
      <c r="C304" s="499"/>
      <c r="D304" s="499"/>
      <c r="E304" s="499"/>
      <c r="F304" s="499"/>
    </row>
    <row r="305" spans="1:6" ht="15">
      <c r="A305" s="501"/>
      <c r="B305" s="500"/>
      <c r="C305" s="499"/>
      <c r="D305" s="499"/>
      <c r="E305" s="499"/>
      <c r="F305" s="499"/>
    </row>
    <row r="306" spans="1:6" ht="15">
      <c r="A306" s="501"/>
      <c r="B306" s="500"/>
      <c r="C306" s="499"/>
      <c r="D306" s="499"/>
      <c r="E306" s="499"/>
      <c r="F306" s="499"/>
    </row>
    <row r="307" spans="1:6" ht="15">
      <c r="A307" s="501"/>
      <c r="B307" s="500"/>
      <c r="C307" s="499"/>
      <c r="D307" s="499"/>
      <c r="E307" s="499"/>
      <c r="F307" s="499"/>
    </row>
    <row r="308" spans="1:6" ht="15">
      <c r="A308" s="501"/>
      <c r="B308" s="500"/>
      <c r="C308" s="499"/>
      <c r="D308" s="499"/>
      <c r="E308" s="499"/>
      <c r="F308" s="499"/>
    </row>
    <row r="309" spans="1:6" ht="15">
      <c r="A309" s="501"/>
      <c r="B309" s="500"/>
      <c r="C309" s="499"/>
      <c r="D309" s="499"/>
      <c r="E309" s="499"/>
      <c r="F309" s="499"/>
    </row>
    <row r="310" spans="1:6" ht="15">
      <c r="A310" s="501"/>
      <c r="B310" s="500"/>
      <c r="C310" s="499"/>
      <c r="D310" s="499"/>
      <c r="E310" s="499"/>
      <c r="F310" s="499"/>
    </row>
    <row r="311" spans="1:6" ht="15">
      <c r="A311" s="501"/>
      <c r="B311" s="500"/>
      <c r="C311" s="499"/>
      <c r="D311" s="499"/>
      <c r="E311" s="499"/>
      <c r="F311" s="499"/>
    </row>
    <row r="312" spans="1:6" ht="15">
      <c r="A312" s="501"/>
      <c r="B312" s="500"/>
      <c r="C312" s="499"/>
      <c r="D312" s="499"/>
      <c r="E312" s="499"/>
      <c r="F312" s="499"/>
    </row>
    <row r="313" spans="1:6" ht="15">
      <c r="A313" s="501"/>
      <c r="B313" s="500"/>
      <c r="C313" s="499"/>
      <c r="D313" s="499"/>
      <c r="E313" s="499"/>
      <c r="F313" s="499"/>
    </row>
    <row r="314" spans="1:6" ht="15">
      <c r="A314" s="501"/>
      <c r="B314" s="500"/>
      <c r="C314" s="499"/>
      <c r="D314" s="499"/>
      <c r="E314" s="499"/>
      <c r="F314" s="499"/>
    </row>
    <row r="315" spans="1:6" ht="15">
      <c r="A315" s="501"/>
      <c r="B315" s="500"/>
      <c r="C315" s="499"/>
      <c r="D315" s="499"/>
      <c r="E315" s="499"/>
      <c r="F315" s="499"/>
    </row>
    <row r="316" spans="1:6" ht="15">
      <c r="A316" s="501"/>
      <c r="B316" s="500"/>
      <c r="C316" s="499"/>
      <c r="D316" s="499"/>
      <c r="E316" s="499"/>
      <c r="F316" s="499"/>
    </row>
    <row r="317" spans="1:6" ht="15">
      <c r="A317" s="501"/>
      <c r="B317" s="500"/>
      <c r="C317" s="499"/>
      <c r="D317" s="499"/>
      <c r="E317" s="499"/>
      <c r="F317" s="499"/>
    </row>
    <row r="318" spans="1:6" ht="15">
      <c r="A318" s="501"/>
      <c r="B318" s="500"/>
      <c r="C318" s="499"/>
      <c r="D318" s="499"/>
      <c r="E318" s="499"/>
      <c r="F318" s="499"/>
    </row>
    <row r="319" spans="1:6" ht="15">
      <c r="A319" s="501"/>
      <c r="B319" s="500"/>
      <c r="C319" s="499"/>
      <c r="D319" s="499"/>
      <c r="E319" s="499"/>
      <c r="F319" s="499"/>
    </row>
    <row r="320" spans="1:6" ht="15">
      <c r="A320" s="501"/>
      <c r="B320" s="500"/>
      <c r="C320" s="499"/>
      <c r="D320" s="499"/>
      <c r="E320" s="499"/>
      <c r="F320" s="499"/>
    </row>
    <row r="321" spans="1:6" ht="15">
      <c r="A321" s="501"/>
      <c r="B321" s="500"/>
      <c r="C321" s="499"/>
      <c r="D321" s="499"/>
      <c r="E321" s="499"/>
      <c r="F321" s="499"/>
    </row>
    <row r="322" spans="1:6" ht="15">
      <c r="A322" s="501"/>
      <c r="B322" s="500"/>
      <c r="C322" s="499"/>
      <c r="D322" s="499"/>
      <c r="E322" s="499"/>
      <c r="F322" s="499"/>
    </row>
    <row r="323" spans="1:6" ht="15">
      <c r="A323" s="501"/>
      <c r="B323" s="500"/>
      <c r="C323" s="499"/>
      <c r="D323" s="499"/>
      <c r="E323" s="499"/>
      <c r="F323" s="499"/>
    </row>
    <row r="324" spans="1:6" ht="15">
      <c r="A324" s="501"/>
      <c r="B324" s="500"/>
      <c r="C324" s="499"/>
      <c r="D324" s="499"/>
      <c r="E324" s="499"/>
      <c r="F324" s="499"/>
    </row>
    <row r="325" spans="1:6" ht="15">
      <c r="A325" s="501"/>
      <c r="B325" s="500"/>
      <c r="C325" s="499"/>
      <c r="D325" s="499"/>
      <c r="E325" s="499"/>
      <c r="F325" s="499"/>
    </row>
    <row r="326" spans="1:6" ht="15">
      <c r="A326" s="501"/>
      <c r="B326" s="500"/>
      <c r="C326" s="499"/>
      <c r="D326" s="499"/>
      <c r="E326" s="499"/>
      <c r="F326" s="499"/>
    </row>
    <row r="327" spans="1:6" ht="15">
      <c r="A327" s="501"/>
      <c r="B327" s="500"/>
      <c r="C327" s="499"/>
      <c r="D327" s="499"/>
      <c r="E327" s="499"/>
      <c r="F327" s="499"/>
    </row>
    <row r="328" spans="1:6" ht="15">
      <c r="A328" s="501"/>
      <c r="B328" s="500"/>
      <c r="C328" s="499"/>
      <c r="D328" s="499"/>
      <c r="E328" s="499"/>
      <c r="F328" s="499"/>
    </row>
    <row r="329" spans="1:6" ht="15">
      <c r="A329" s="501"/>
      <c r="B329" s="500"/>
      <c r="C329" s="499"/>
      <c r="D329" s="499"/>
      <c r="E329" s="499"/>
      <c r="F329" s="499"/>
    </row>
    <row r="330" spans="1:6" ht="15">
      <c r="A330" s="501"/>
      <c r="B330" s="500"/>
      <c r="C330" s="499"/>
      <c r="D330" s="499"/>
      <c r="E330" s="499"/>
      <c r="F330" s="499"/>
    </row>
    <row r="331" spans="1:6" ht="15">
      <c r="A331" s="501"/>
      <c r="B331" s="500"/>
      <c r="C331" s="499"/>
      <c r="D331" s="499"/>
      <c r="E331" s="499"/>
      <c r="F331" s="499"/>
    </row>
    <row r="332" spans="1:6" ht="15">
      <c r="A332" s="501"/>
      <c r="B332" s="500"/>
      <c r="C332" s="499"/>
      <c r="D332" s="499"/>
      <c r="E332" s="499"/>
      <c r="F332" s="499"/>
    </row>
    <row r="333" spans="1:6" ht="15">
      <c r="A333" s="501"/>
      <c r="B333" s="500"/>
      <c r="C333" s="499"/>
      <c r="D333" s="499"/>
      <c r="E333" s="499"/>
      <c r="F333" s="499"/>
    </row>
    <row r="334" spans="1:6" ht="15">
      <c r="A334" s="501"/>
      <c r="B334" s="500"/>
      <c r="C334" s="499"/>
      <c r="D334" s="499"/>
      <c r="E334" s="499"/>
      <c r="F334" s="499"/>
    </row>
    <row r="335" spans="1:6" ht="15">
      <c r="A335" s="501"/>
      <c r="B335" s="500"/>
      <c r="C335" s="499"/>
      <c r="D335" s="499"/>
      <c r="E335" s="499"/>
      <c r="F335" s="499"/>
    </row>
    <row r="336" spans="1:6" ht="15">
      <c r="A336" s="501"/>
      <c r="B336" s="500"/>
      <c r="C336" s="499"/>
      <c r="D336" s="499"/>
      <c r="E336" s="499"/>
      <c r="F336" s="499"/>
    </row>
    <row r="337" spans="1:6" ht="15">
      <c r="A337" s="501"/>
      <c r="B337" s="500"/>
      <c r="C337" s="499"/>
      <c r="D337" s="499"/>
      <c r="E337" s="499"/>
      <c r="F337" s="499"/>
    </row>
    <row r="338" spans="1:6" ht="15">
      <c r="A338" s="501"/>
      <c r="B338" s="500"/>
      <c r="C338" s="499"/>
      <c r="D338" s="499"/>
      <c r="E338" s="499"/>
      <c r="F338" s="499"/>
    </row>
    <row r="339" spans="1:6" ht="15">
      <c r="A339" s="501"/>
      <c r="B339" s="500"/>
      <c r="C339" s="499"/>
      <c r="D339" s="499"/>
      <c r="E339" s="499"/>
      <c r="F339" s="499"/>
    </row>
    <row r="340" spans="1:6" ht="15">
      <c r="A340" s="501"/>
      <c r="B340" s="500"/>
      <c r="C340" s="499"/>
      <c r="D340" s="499"/>
      <c r="E340" s="499"/>
      <c r="F340" s="499"/>
    </row>
    <row r="341" spans="1:6" ht="15">
      <c r="A341" s="501"/>
      <c r="B341" s="500"/>
      <c r="C341" s="499"/>
      <c r="D341" s="499"/>
      <c r="E341" s="499"/>
      <c r="F341" s="499"/>
    </row>
    <row r="342" spans="1:6" ht="15">
      <c r="A342" s="501"/>
      <c r="B342" s="500"/>
      <c r="C342" s="499"/>
      <c r="D342" s="499"/>
      <c r="E342" s="499"/>
      <c r="F342" s="499"/>
    </row>
    <row r="343" spans="1:6" ht="15">
      <c r="A343" s="501"/>
      <c r="B343" s="500"/>
      <c r="C343" s="499"/>
      <c r="D343" s="499"/>
      <c r="E343" s="499"/>
      <c r="F343" s="499"/>
    </row>
    <row r="344" spans="1:6" ht="15">
      <c r="A344" s="501"/>
      <c r="B344" s="500"/>
      <c r="C344" s="499"/>
      <c r="D344" s="499"/>
      <c r="E344" s="499"/>
      <c r="F344" s="499"/>
    </row>
    <row r="345" spans="1:6" ht="15">
      <c r="A345" s="501"/>
      <c r="B345" s="500"/>
      <c r="C345" s="499"/>
      <c r="D345" s="499"/>
      <c r="E345" s="499"/>
      <c r="F345" s="499"/>
    </row>
    <row r="346" spans="1:6" ht="15">
      <c r="A346" s="501"/>
      <c r="B346" s="500"/>
      <c r="C346" s="499"/>
      <c r="D346" s="499"/>
      <c r="E346" s="499"/>
      <c r="F346" s="499"/>
    </row>
    <row r="347" spans="1:6" ht="15">
      <c r="A347" s="501"/>
      <c r="B347" s="500"/>
      <c r="C347" s="499"/>
      <c r="D347" s="499"/>
      <c r="E347" s="499"/>
      <c r="F347" s="499"/>
    </row>
    <row r="348" spans="1:6" ht="15">
      <c r="A348" s="501"/>
      <c r="B348" s="500"/>
      <c r="C348" s="499"/>
      <c r="D348" s="499"/>
      <c r="E348" s="499"/>
      <c r="F348" s="499"/>
    </row>
    <row r="349" spans="1:6" ht="15">
      <c r="A349" s="501"/>
      <c r="B349" s="500"/>
      <c r="C349" s="499"/>
      <c r="D349" s="499"/>
      <c r="E349" s="499"/>
      <c r="F349" s="499"/>
    </row>
    <row r="350" spans="1:6" ht="15">
      <c r="A350" s="501"/>
      <c r="B350" s="500"/>
      <c r="C350" s="499"/>
      <c r="D350" s="499"/>
      <c r="E350" s="499"/>
      <c r="F350" s="499"/>
    </row>
    <row r="351" spans="1:6" ht="15">
      <c r="A351" s="501"/>
      <c r="B351" s="500"/>
      <c r="C351" s="499"/>
      <c r="D351" s="499"/>
      <c r="E351" s="499"/>
      <c r="F351" s="499"/>
    </row>
    <row r="352" spans="1:6" ht="15">
      <c r="A352" s="501"/>
      <c r="B352" s="500"/>
      <c r="C352" s="499"/>
      <c r="D352" s="499"/>
      <c r="E352" s="499"/>
      <c r="F352" s="499"/>
    </row>
    <row r="353" spans="1:6" ht="15">
      <c r="A353" s="501"/>
      <c r="B353" s="500"/>
      <c r="C353" s="499"/>
      <c r="D353" s="499"/>
      <c r="E353" s="499"/>
      <c r="F353" s="499"/>
    </row>
    <row r="354" spans="1:6" ht="15">
      <c r="A354" s="501"/>
      <c r="B354" s="500"/>
      <c r="C354" s="499"/>
      <c r="D354" s="499"/>
      <c r="E354" s="499"/>
      <c r="F354" s="499"/>
    </row>
    <row r="355" spans="1:6" ht="15">
      <c r="A355" s="501"/>
      <c r="B355" s="500"/>
      <c r="C355" s="499"/>
      <c r="D355" s="499"/>
      <c r="E355" s="499"/>
      <c r="F355" s="499"/>
    </row>
    <row r="356" spans="1:6" ht="15">
      <c r="A356" s="501"/>
      <c r="B356" s="500"/>
      <c r="C356" s="499"/>
      <c r="D356" s="499"/>
      <c r="E356" s="499"/>
      <c r="F356" s="499"/>
    </row>
    <row r="357" spans="1:6" ht="15">
      <c r="A357" s="501"/>
      <c r="B357" s="500"/>
      <c r="C357" s="499"/>
      <c r="D357" s="499"/>
      <c r="E357" s="499"/>
      <c r="F357" s="499"/>
    </row>
    <row r="358" spans="1:6" ht="15">
      <c r="A358" s="501"/>
      <c r="B358" s="500"/>
      <c r="C358" s="499"/>
      <c r="D358" s="499"/>
      <c r="E358" s="499"/>
      <c r="F358" s="499"/>
    </row>
    <row r="359" spans="1:6" ht="15">
      <c r="A359" s="501"/>
      <c r="B359" s="500"/>
      <c r="C359" s="499"/>
      <c r="D359" s="499"/>
      <c r="E359" s="499"/>
      <c r="F359" s="499"/>
    </row>
    <row r="360" spans="1:6" ht="15">
      <c r="A360" s="501"/>
      <c r="B360" s="500"/>
      <c r="C360" s="499"/>
      <c r="D360" s="499"/>
      <c r="E360" s="499"/>
      <c r="F360" s="499"/>
    </row>
    <row r="361" spans="1:6" ht="15">
      <c r="A361" s="501"/>
      <c r="B361" s="500"/>
      <c r="C361" s="499"/>
      <c r="D361" s="499"/>
      <c r="E361" s="499"/>
      <c r="F361" s="499"/>
    </row>
    <row r="362" spans="1:6" ht="15">
      <c r="A362" s="501"/>
      <c r="B362" s="500"/>
      <c r="C362" s="499"/>
      <c r="D362" s="499"/>
      <c r="E362" s="499"/>
      <c r="F362" s="499"/>
    </row>
    <row r="363" spans="1:6" ht="15">
      <c r="A363" s="501"/>
      <c r="B363" s="500"/>
      <c r="C363" s="499"/>
      <c r="D363" s="499"/>
      <c r="E363" s="499"/>
      <c r="F363" s="499"/>
    </row>
    <row r="364" spans="1:6" ht="15">
      <c r="A364" s="501"/>
      <c r="B364" s="500"/>
      <c r="C364" s="499"/>
      <c r="D364" s="499"/>
      <c r="E364" s="499"/>
      <c r="F364" s="499"/>
    </row>
    <row r="365" spans="1:6" ht="15">
      <c r="A365" s="501"/>
      <c r="B365" s="500"/>
      <c r="C365" s="499"/>
      <c r="D365" s="499"/>
      <c r="E365" s="499"/>
      <c r="F365" s="499"/>
    </row>
    <row r="366" spans="1:6" ht="15">
      <c r="A366" s="501"/>
      <c r="B366" s="500"/>
      <c r="C366" s="499"/>
      <c r="D366" s="499"/>
      <c r="E366" s="499"/>
      <c r="F366" s="499"/>
    </row>
    <row r="367" spans="1:6" ht="15">
      <c r="A367" s="501"/>
      <c r="B367" s="500"/>
      <c r="C367" s="499"/>
      <c r="D367" s="499"/>
      <c r="E367" s="499"/>
      <c r="F367" s="499"/>
    </row>
    <row r="368" spans="1:6" ht="15">
      <c r="A368" s="501"/>
      <c r="B368" s="500"/>
      <c r="C368" s="499"/>
      <c r="D368" s="499"/>
      <c r="E368" s="499"/>
      <c r="F368" s="499"/>
    </row>
    <row r="369" spans="1:6" ht="15">
      <c r="A369" s="501"/>
      <c r="B369" s="500"/>
      <c r="C369" s="499"/>
      <c r="D369" s="499"/>
      <c r="E369" s="499"/>
      <c r="F369" s="499"/>
    </row>
    <row r="370" spans="1:6" ht="15">
      <c r="A370" s="501"/>
      <c r="B370" s="500"/>
      <c r="C370" s="499"/>
      <c r="D370" s="499"/>
      <c r="E370" s="499"/>
      <c r="F370" s="499"/>
    </row>
    <row r="371" spans="1:6" ht="15">
      <c r="A371" s="501"/>
      <c r="B371" s="500"/>
      <c r="C371" s="499"/>
      <c r="D371" s="499"/>
      <c r="E371" s="499"/>
      <c r="F371" s="499"/>
    </row>
    <row r="372" spans="1:6" ht="15">
      <c r="A372" s="501"/>
      <c r="B372" s="500"/>
      <c r="C372" s="499"/>
      <c r="D372" s="499"/>
      <c r="E372" s="499"/>
      <c r="F372" s="499"/>
    </row>
    <row r="373" spans="1:6" ht="15">
      <c r="A373" s="501"/>
      <c r="B373" s="500"/>
      <c r="C373" s="499"/>
      <c r="D373" s="499"/>
      <c r="E373" s="499"/>
      <c r="F373" s="499"/>
    </row>
    <row r="374" spans="1:6" ht="15">
      <c r="A374" s="501"/>
      <c r="B374" s="500"/>
      <c r="C374" s="499"/>
      <c r="D374" s="499"/>
      <c r="E374" s="499"/>
      <c r="F374" s="499"/>
    </row>
    <row r="375" spans="1:6" ht="15">
      <c r="A375" s="501"/>
      <c r="B375" s="500"/>
      <c r="C375" s="499"/>
      <c r="D375" s="499"/>
      <c r="E375" s="499"/>
      <c r="F375" s="499"/>
    </row>
    <row r="376" spans="1:6" ht="15">
      <c r="A376" s="501"/>
      <c r="B376" s="500"/>
      <c r="C376" s="499"/>
      <c r="D376" s="499"/>
      <c r="E376" s="499"/>
      <c r="F376" s="499"/>
    </row>
    <row r="377" spans="1:6" ht="15">
      <c r="A377" s="501"/>
      <c r="B377" s="500"/>
      <c r="C377" s="499"/>
      <c r="D377" s="499"/>
      <c r="E377" s="499"/>
      <c r="F377" s="499"/>
    </row>
    <row r="378" spans="1:6" ht="15">
      <c r="A378" s="501"/>
      <c r="B378" s="500"/>
      <c r="C378" s="499"/>
      <c r="D378" s="499"/>
      <c r="E378" s="499"/>
      <c r="F378" s="499"/>
    </row>
    <row r="379" spans="1:6" ht="15">
      <c r="A379" s="501"/>
      <c r="B379" s="500"/>
      <c r="C379" s="499"/>
      <c r="D379" s="499"/>
      <c r="E379" s="499"/>
      <c r="F379" s="499"/>
    </row>
    <row r="380" spans="1:6" ht="15">
      <c r="A380" s="501"/>
      <c r="B380" s="500"/>
      <c r="C380" s="499"/>
      <c r="D380" s="499"/>
      <c r="E380" s="499"/>
      <c r="F380" s="499"/>
    </row>
    <row r="381" spans="1:6" ht="15">
      <c r="A381" s="501"/>
      <c r="B381" s="500"/>
      <c r="C381" s="499"/>
      <c r="D381" s="499"/>
      <c r="E381" s="499"/>
      <c r="F381" s="499"/>
    </row>
    <row r="382" spans="1:6" ht="15">
      <c r="A382" s="501"/>
      <c r="B382" s="500"/>
      <c r="C382" s="499"/>
      <c r="D382" s="499"/>
      <c r="E382" s="499"/>
      <c r="F382" s="499"/>
    </row>
    <row r="383" spans="1:6" ht="15">
      <c r="A383" s="501"/>
      <c r="B383" s="500"/>
      <c r="C383" s="499"/>
      <c r="D383" s="499"/>
      <c r="E383" s="499"/>
      <c r="F383" s="499"/>
    </row>
    <row r="384" spans="1:6" ht="15">
      <c r="A384" s="501"/>
      <c r="B384" s="500"/>
      <c r="C384" s="499"/>
      <c r="D384" s="499"/>
      <c r="E384" s="499"/>
      <c r="F384" s="499"/>
    </row>
    <row r="385" spans="1:6" ht="15">
      <c r="A385" s="501"/>
      <c r="B385" s="500"/>
      <c r="C385" s="499"/>
      <c r="D385" s="499"/>
      <c r="E385" s="499"/>
      <c r="F385" s="499"/>
    </row>
    <row r="386" spans="1:6" ht="15">
      <c r="A386" s="501"/>
      <c r="B386" s="500"/>
      <c r="C386" s="499"/>
      <c r="D386" s="499"/>
      <c r="E386" s="499"/>
      <c r="F386" s="499"/>
    </row>
    <row r="387" spans="1:6" ht="15">
      <c r="A387" s="501"/>
      <c r="B387" s="500"/>
      <c r="C387" s="499"/>
      <c r="D387" s="499"/>
      <c r="E387" s="499"/>
      <c r="F387" s="499"/>
    </row>
    <row r="388" spans="1:6" ht="15">
      <c r="A388" s="501"/>
      <c r="B388" s="500"/>
      <c r="C388" s="499"/>
      <c r="D388" s="499"/>
      <c r="E388" s="499"/>
      <c r="F388" s="499"/>
    </row>
    <row r="389" spans="1:6" ht="15">
      <c r="A389" s="501"/>
      <c r="B389" s="500"/>
      <c r="C389" s="499"/>
      <c r="D389" s="499"/>
      <c r="E389" s="499"/>
      <c r="F389" s="499"/>
    </row>
    <row r="390" spans="1:6" ht="15">
      <c r="A390" s="501"/>
      <c r="B390" s="500"/>
      <c r="C390" s="499"/>
      <c r="D390" s="499"/>
      <c r="E390" s="499"/>
      <c r="F390" s="499"/>
    </row>
    <row r="391" spans="1:6" ht="15">
      <c r="A391" s="501"/>
      <c r="B391" s="500"/>
      <c r="C391" s="499"/>
      <c r="D391" s="499"/>
      <c r="E391" s="499"/>
      <c r="F391" s="499"/>
    </row>
    <row r="392" spans="1:6" ht="15">
      <c r="A392" s="501"/>
      <c r="B392" s="500"/>
      <c r="C392" s="499"/>
      <c r="D392" s="499"/>
      <c r="E392" s="499"/>
      <c r="F392" s="499"/>
    </row>
    <row r="393" spans="1:6" ht="15">
      <c r="A393" s="501"/>
      <c r="B393" s="500"/>
      <c r="C393" s="499"/>
      <c r="D393" s="499"/>
      <c r="E393" s="499"/>
      <c r="F393" s="499"/>
    </row>
    <row r="394" spans="1:6" ht="15">
      <c r="A394" s="501"/>
      <c r="B394" s="500"/>
      <c r="C394" s="499"/>
      <c r="D394" s="499"/>
      <c r="E394" s="499"/>
      <c r="F394" s="499"/>
    </row>
    <row r="395" spans="1:6" ht="15">
      <c r="A395" s="501"/>
      <c r="B395" s="500"/>
      <c r="C395" s="499"/>
      <c r="D395" s="499"/>
      <c r="E395" s="499"/>
      <c r="F395" s="499"/>
    </row>
    <row r="396" spans="1:6" ht="15">
      <c r="A396" s="501"/>
      <c r="B396" s="500"/>
      <c r="C396" s="499"/>
      <c r="D396" s="499"/>
      <c r="E396" s="499"/>
      <c r="F396" s="499"/>
    </row>
    <row r="397" spans="1:6" ht="15">
      <c r="A397" s="501"/>
      <c r="B397" s="500"/>
      <c r="C397" s="499"/>
      <c r="D397" s="499"/>
      <c r="E397" s="499"/>
      <c r="F397" s="499"/>
    </row>
    <row r="398" spans="1:6" ht="15">
      <c r="A398" s="501"/>
      <c r="B398" s="500"/>
      <c r="C398" s="499"/>
      <c r="D398" s="499"/>
      <c r="E398" s="499"/>
      <c r="F398" s="499"/>
    </row>
    <row r="399" spans="1:6" ht="15">
      <c r="A399" s="501"/>
      <c r="B399" s="500"/>
      <c r="C399" s="499"/>
      <c r="D399" s="499"/>
      <c r="E399" s="499"/>
      <c r="F399" s="499"/>
    </row>
    <row r="400" spans="1:6" ht="15">
      <c r="A400" s="501"/>
      <c r="B400" s="500"/>
      <c r="C400" s="499"/>
      <c r="D400" s="499"/>
      <c r="E400" s="499"/>
      <c r="F400" s="499"/>
    </row>
    <row r="401" spans="1:6" ht="15">
      <c r="A401" s="501"/>
      <c r="B401" s="500"/>
      <c r="C401" s="499"/>
      <c r="D401" s="499"/>
      <c r="E401" s="499"/>
      <c r="F401" s="499"/>
    </row>
    <row r="402" spans="1:6" ht="15">
      <c r="A402" s="501"/>
      <c r="B402" s="500"/>
      <c r="C402" s="499"/>
      <c r="D402" s="499"/>
      <c r="E402" s="499"/>
      <c r="F402" s="499"/>
    </row>
    <row r="403" spans="1:6" ht="15">
      <c r="A403" s="501"/>
      <c r="B403" s="500"/>
      <c r="C403" s="499"/>
      <c r="D403" s="499"/>
      <c r="E403" s="499"/>
      <c r="F403" s="499"/>
    </row>
    <row r="404" spans="1:6" ht="15">
      <c r="A404" s="501"/>
      <c r="B404" s="500"/>
      <c r="C404" s="499"/>
      <c r="D404" s="499"/>
      <c r="E404" s="499"/>
      <c r="F404" s="499"/>
    </row>
    <row r="405" spans="1:6" ht="15">
      <c r="A405" s="501"/>
      <c r="B405" s="500"/>
      <c r="C405" s="499"/>
      <c r="D405" s="499"/>
      <c r="E405" s="499"/>
      <c r="F405" s="499"/>
    </row>
    <row r="406" spans="1:6" ht="15">
      <c r="A406" s="501"/>
      <c r="B406" s="500"/>
      <c r="C406" s="499"/>
      <c r="D406" s="499"/>
      <c r="E406" s="499"/>
      <c r="F406" s="499"/>
    </row>
    <row r="407" spans="1:6" ht="15">
      <c r="A407" s="501"/>
      <c r="B407" s="500"/>
      <c r="C407" s="499"/>
      <c r="D407" s="499"/>
      <c r="E407" s="499"/>
      <c r="F407" s="499"/>
    </row>
    <row r="408" spans="1:6" ht="15">
      <c r="A408" s="501"/>
      <c r="B408" s="500"/>
      <c r="C408" s="499"/>
      <c r="D408" s="499"/>
      <c r="E408" s="499"/>
      <c r="F408" s="499"/>
    </row>
    <row r="409" spans="1:6" ht="15">
      <c r="A409" s="501"/>
      <c r="B409" s="500"/>
      <c r="C409" s="499"/>
      <c r="D409" s="499"/>
      <c r="E409" s="499"/>
      <c r="F409" s="499"/>
    </row>
    <row r="410" spans="1:6" ht="15">
      <c r="A410" s="501"/>
      <c r="B410" s="500"/>
      <c r="C410" s="499"/>
      <c r="D410" s="499"/>
      <c r="E410" s="499"/>
      <c r="F410" s="499"/>
    </row>
    <row r="411" spans="1:6" ht="15">
      <c r="A411" s="501"/>
      <c r="B411" s="500"/>
      <c r="C411" s="499"/>
      <c r="D411" s="499"/>
      <c r="E411" s="499"/>
      <c r="F411" s="499"/>
    </row>
    <row r="412" spans="1:6" ht="15">
      <c r="A412" s="501"/>
      <c r="B412" s="500"/>
      <c r="C412" s="499"/>
      <c r="D412" s="499"/>
      <c r="E412" s="499"/>
      <c r="F412" s="499"/>
    </row>
    <row r="413" spans="1:6" ht="15">
      <c r="A413" s="501"/>
      <c r="B413" s="500"/>
      <c r="C413" s="499"/>
      <c r="D413" s="499"/>
      <c r="E413" s="499"/>
      <c r="F413" s="499"/>
    </row>
    <row r="414" spans="1:6" ht="15">
      <c r="A414" s="501"/>
      <c r="B414" s="500"/>
      <c r="C414" s="499"/>
      <c r="D414" s="499"/>
      <c r="E414" s="499"/>
      <c r="F414" s="499"/>
    </row>
    <row r="415" spans="1:6" ht="15">
      <c r="A415" s="501"/>
      <c r="B415" s="500"/>
      <c r="C415" s="499"/>
      <c r="D415" s="499"/>
      <c r="E415" s="499"/>
      <c r="F415" s="499"/>
    </row>
    <row r="416" spans="1:6" ht="15">
      <c r="A416" s="501"/>
      <c r="B416" s="500"/>
      <c r="C416" s="499"/>
      <c r="D416" s="499"/>
      <c r="E416" s="499"/>
      <c r="F416" s="499"/>
    </row>
    <row r="417" spans="1:6" ht="15">
      <c r="A417" s="501"/>
      <c r="B417" s="500"/>
      <c r="C417" s="499"/>
      <c r="D417" s="499"/>
      <c r="E417" s="499"/>
      <c r="F417" s="499"/>
    </row>
    <row r="418" spans="1:6" ht="15">
      <c r="A418" s="501"/>
      <c r="B418" s="500"/>
      <c r="C418" s="499"/>
      <c r="D418" s="499"/>
      <c r="E418" s="499"/>
      <c r="F418" s="499"/>
    </row>
    <row r="419" spans="1:6" ht="15">
      <c r="A419" s="501"/>
      <c r="B419" s="500"/>
      <c r="C419" s="499"/>
      <c r="D419" s="499"/>
      <c r="E419" s="499"/>
      <c r="F419" s="499"/>
    </row>
    <row r="420" spans="1:6" ht="15">
      <c r="A420" s="501"/>
      <c r="B420" s="500"/>
      <c r="C420" s="499"/>
      <c r="D420" s="499"/>
      <c r="E420" s="499"/>
      <c r="F420" s="499"/>
    </row>
    <row r="421" spans="1:6" ht="15">
      <c r="A421" s="501"/>
      <c r="B421" s="500"/>
      <c r="C421" s="499"/>
      <c r="D421" s="499"/>
      <c r="E421" s="499"/>
      <c r="F421" s="499"/>
    </row>
    <row r="422" spans="1:6" ht="15">
      <c r="A422" s="501"/>
      <c r="B422" s="500"/>
      <c r="C422" s="499"/>
      <c r="D422" s="499"/>
      <c r="E422" s="499"/>
      <c r="F422" s="499"/>
    </row>
    <row r="423" spans="1:6" ht="15">
      <c r="A423" s="501"/>
      <c r="B423" s="500"/>
      <c r="C423" s="499"/>
      <c r="D423" s="499"/>
      <c r="E423" s="499"/>
      <c r="F423" s="499"/>
    </row>
    <row r="424" spans="1:6" ht="15">
      <c r="A424" s="501"/>
      <c r="B424" s="500"/>
      <c r="C424" s="499"/>
      <c r="D424" s="499"/>
      <c r="E424" s="499"/>
      <c r="F424" s="499"/>
    </row>
    <row r="425" spans="1:6" ht="15">
      <c r="A425" s="501"/>
      <c r="B425" s="500"/>
      <c r="C425" s="499"/>
      <c r="D425" s="499"/>
      <c r="E425" s="499"/>
      <c r="F425" s="499"/>
    </row>
    <row r="426" spans="1:6" ht="15">
      <c r="A426" s="501"/>
      <c r="B426" s="500"/>
      <c r="C426" s="499"/>
      <c r="D426" s="499"/>
      <c r="E426" s="499"/>
      <c r="F426" s="499"/>
    </row>
    <row r="427" spans="1:6" ht="15">
      <c r="A427" s="501"/>
      <c r="B427" s="500"/>
      <c r="C427" s="499"/>
      <c r="D427" s="499"/>
      <c r="E427" s="499"/>
      <c r="F427" s="499"/>
    </row>
    <row r="428" spans="1:6" ht="15">
      <c r="A428" s="501"/>
      <c r="B428" s="500"/>
      <c r="C428" s="499"/>
      <c r="D428" s="499"/>
      <c r="E428" s="499"/>
      <c r="F428" s="499"/>
    </row>
    <row r="429" spans="1:6" ht="15">
      <c r="A429" s="501"/>
      <c r="B429" s="500"/>
      <c r="C429" s="499"/>
      <c r="D429" s="499"/>
      <c r="E429" s="499"/>
      <c r="F429" s="499"/>
    </row>
    <row r="430" spans="1:6" ht="15">
      <c r="A430" s="501"/>
      <c r="B430" s="500"/>
      <c r="C430" s="499"/>
      <c r="D430" s="499"/>
      <c r="E430" s="499"/>
      <c r="F430" s="499"/>
    </row>
    <row r="431" spans="1:6" ht="15">
      <c r="A431" s="501"/>
      <c r="B431" s="500"/>
      <c r="C431" s="499"/>
      <c r="D431" s="499"/>
      <c r="E431" s="499"/>
      <c r="F431" s="499"/>
    </row>
    <row r="432" spans="1:6" ht="15">
      <c r="A432" s="501"/>
      <c r="B432" s="500"/>
      <c r="C432" s="499"/>
      <c r="D432" s="499"/>
      <c r="E432" s="499"/>
      <c r="F432" s="499"/>
    </row>
    <row r="433" spans="1:6" ht="15">
      <c r="A433" s="501"/>
      <c r="B433" s="500"/>
      <c r="C433" s="499"/>
      <c r="D433" s="499"/>
      <c r="E433" s="499"/>
      <c r="F433" s="499"/>
    </row>
    <row r="434" spans="1:6" ht="15">
      <c r="A434" s="501"/>
      <c r="B434" s="500"/>
      <c r="C434" s="499"/>
      <c r="D434" s="499"/>
      <c r="E434" s="499"/>
      <c r="F434" s="499"/>
    </row>
    <row r="435" spans="1:6" ht="15">
      <c r="A435" s="501"/>
      <c r="B435" s="500"/>
      <c r="C435" s="499"/>
      <c r="D435" s="499"/>
      <c r="E435" s="499"/>
      <c r="F435" s="499"/>
    </row>
    <row r="436" spans="1:6" ht="15">
      <c r="A436" s="501"/>
      <c r="B436" s="500"/>
      <c r="C436" s="499"/>
      <c r="D436" s="499"/>
      <c r="E436" s="499"/>
      <c r="F436" s="499"/>
    </row>
    <row r="437" spans="1:6" ht="15">
      <c r="A437" s="501"/>
      <c r="B437" s="500"/>
      <c r="C437" s="499"/>
      <c r="D437" s="499"/>
      <c r="E437" s="499"/>
      <c r="F437" s="499"/>
    </row>
    <row r="438" spans="1:6" ht="15">
      <c r="A438" s="501"/>
      <c r="B438" s="500"/>
      <c r="C438" s="499"/>
      <c r="D438" s="499"/>
      <c r="E438" s="499"/>
      <c r="F438" s="499"/>
    </row>
    <row r="439" spans="1:6" ht="15">
      <c r="A439" s="501"/>
      <c r="B439" s="500"/>
      <c r="C439" s="499"/>
      <c r="D439" s="499"/>
      <c r="E439" s="499"/>
      <c r="F439" s="499"/>
    </row>
    <row r="440" spans="1:6" ht="15">
      <c r="A440" s="501"/>
      <c r="B440" s="500"/>
      <c r="C440" s="499"/>
      <c r="D440" s="499"/>
      <c r="E440" s="499"/>
      <c r="F440" s="499"/>
    </row>
    <row r="441" spans="1:6" ht="15">
      <c r="A441" s="501"/>
      <c r="B441" s="500"/>
      <c r="C441" s="499"/>
      <c r="D441" s="499"/>
      <c r="E441" s="499"/>
      <c r="F441" s="499"/>
    </row>
    <row r="442" spans="1:6" ht="15">
      <c r="A442" s="501"/>
      <c r="B442" s="500"/>
      <c r="C442" s="499"/>
      <c r="D442" s="499"/>
      <c r="E442" s="499"/>
      <c r="F442" s="499"/>
    </row>
    <row r="443" spans="1:6" ht="15">
      <c r="A443" s="501"/>
      <c r="B443" s="500"/>
      <c r="C443" s="499"/>
      <c r="D443" s="499"/>
      <c r="E443" s="499"/>
      <c r="F443" s="499"/>
    </row>
    <row r="444" spans="1:6" ht="15">
      <c r="A444" s="501"/>
      <c r="B444" s="500"/>
      <c r="C444" s="499"/>
      <c r="D444" s="499"/>
      <c r="E444" s="499"/>
      <c r="F444" s="499"/>
    </row>
    <row r="445" spans="1:6" ht="15">
      <c r="A445" s="501"/>
      <c r="B445" s="500"/>
      <c r="C445" s="499"/>
      <c r="D445" s="499"/>
      <c r="E445" s="499"/>
      <c r="F445" s="499"/>
    </row>
    <row r="446" spans="1:6" ht="15">
      <c r="A446" s="501"/>
      <c r="B446" s="500"/>
      <c r="C446" s="499"/>
      <c r="D446" s="499"/>
      <c r="E446" s="499"/>
      <c r="F446" s="499"/>
    </row>
    <row r="447" spans="1:6" ht="15">
      <c r="A447" s="501"/>
      <c r="B447" s="500"/>
      <c r="C447" s="499"/>
      <c r="D447" s="499"/>
      <c r="E447" s="499"/>
      <c r="F447" s="499"/>
    </row>
    <row r="448" spans="1:6" ht="15">
      <c r="A448" s="501"/>
      <c r="B448" s="500"/>
      <c r="C448" s="499"/>
      <c r="D448" s="499"/>
      <c r="E448" s="499"/>
      <c r="F448" s="499"/>
    </row>
    <row r="449" spans="1:6" ht="15">
      <c r="A449" s="501"/>
      <c r="B449" s="500"/>
      <c r="C449" s="499"/>
      <c r="D449" s="499"/>
      <c r="E449" s="499"/>
      <c r="F449" s="499"/>
    </row>
    <row r="450" spans="1:6" ht="15">
      <c r="A450" s="501"/>
      <c r="B450" s="500"/>
      <c r="C450" s="499"/>
      <c r="D450" s="499"/>
      <c r="E450" s="499"/>
      <c r="F450" s="499"/>
    </row>
    <row r="451" spans="1:6" ht="15">
      <c r="A451" s="501"/>
      <c r="B451" s="500"/>
      <c r="C451" s="499"/>
      <c r="D451" s="499"/>
      <c r="E451" s="499"/>
      <c r="F451" s="499"/>
    </row>
    <row r="452" spans="1:6" ht="15">
      <c r="A452" s="501"/>
      <c r="B452" s="500"/>
      <c r="C452" s="499"/>
      <c r="D452" s="499"/>
      <c r="E452" s="499"/>
      <c r="F452" s="499"/>
    </row>
    <row r="453" spans="1:6" ht="15">
      <c r="A453" s="501"/>
      <c r="B453" s="500"/>
      <c r="C453" s="499"/>
      <c r="D453" s="499"/>
      <c r="E453" s="499"/>
      <c r="F453" s="499"/>
    </row>
    <row r="454" spans="1:6" ht="15">
      <c r="A454" s="501"/>
      <c r="B454" s="500"/>
      <c r="C454" s="499"/>
      <c r="D454" s="499"/>
      <c r="E454" s="499"/>
      <c r="F454" s="499"/>
    </row>
    <row r="455" spans="1:6" ht="15">
      <c r="A455" s="501"/>
      <c r="B455" s="500"/>
      <c r="C455" s="499"/>
      <c r="D455" s="499"/>
      <c r="E455" s="499"/>
      <c r="F455" s="499"/>
    </row>
    <row r="456" spans="1:6" ht="15">
      <c r="A456" s="501"/>
      <c r="B456" s="500"/>
      <c r="C456" s="499"/>
      <c r="D456" s="499"/>
      <c r="E456" s="499"/>
      <c r="F456" s="499"/>
    </row>
    <row r="457" spans="1:6" ht="15">
      <c r="A457" s="501"/>
      <c r="B457" s="500"/>
      <c r="C457" s="499"/>
      <c r="D457" s="499"/>
      <c r="E457" s="499"/>
      <c r="F457" s="499"/>
    </row>
    <row r="458" spans="1:6" ht="15">
      <c r="A458" s="501"/>
      <c r="B458" s="500"/>
      <c r="C458" s="499"/>
      <c r="D458" s="499"/>
      <c r="E458" s="499"/>
      <c r="F458" s="499"/>
    </row>
    <row r="459" spans="1:6" ht="15">
      <c r="A459" s="501"/>
      <c r="B459" s="500"/>
      <c r="C459" s="499"/>
      <c r="D459" s="499"/>
      <c r="E459" s="499"/>
      <c r="F459" s="499"/>
    </row>
    <row r="460" spans="1:6" ht="15">
      <c r="A460" s="501"/>
      <c r="B460" s="500"/>
      <c r="C460" s="499"/>
      <c r="D460" s="499"/>
      <c r="E460" s="499"/>
      <c r="F460" s="499"/>
    </row>
    <row r="461" spans="1:6" ht="15">
      <c r="A461" s="501"/>
      <c r="B461" s="500"/>
      <c r="C461" s="499"/>
      <c r="D461" s="499"/>
      <c r="E461" s="499"/>
      <c r="F461" s="499"/>
    </row>
    <row r="462" spans="1:6" ht="15">
      <c r="A462" s="501"/>
      <c r="B462" s="500"/>
      <c r="C462" s="499"/>
      <c r="D462" s="499"/>
      <c r="E462" s="499"/>
      <c r="F462" s="499"/>
    </row>
    <row r="463" spans="1:6" ht="15">
      <c r="A463" s="501"/>
      <c r="B463" s="500"/>
      <c r="C463" s="499"/>
      <c r="D463" s="499"/>
      <c r="E463" s="499"/>
      <c r="F463" s="499"/>
    </row>
    <row r="464" spans="1:6" ht="15">
      <c r="A464" s="501"/>
      <c r="B464" s="500"/>
      <c r="C464" s="499"/>
      <c r="D464" s="499"/>
      <c r="E464" s="499"/>
      <c r="F464" s="499"/>
    </row>
    <row r="465" spans="1:6" ht="15">
      <c r="A465" s="501"/>
      <c r="B465" s="500"/>
      <c r="C465" s="499"/>
      <c r="D465" s="499"/>
      <c r="E465" s="499"/>
      <c r="F465" s="499"/>
    </row>
    <row r="466" spans="1:6" ht="15">
      <c r="A466" s="501"/>
      <c r="B466" s="500"/>
      <c r="C466" s="499"/>
      <c r="D466" s="499"/>
      <c r="E466" s="499"/>
      <c r="F466" s="499"/>
    </row>
    <row r="467" spans="1:6" ht="15">
      <c r="A467" s="501"/>
      <c r="B467" s="500"/>
      <c r="C467" s="499"/>
      <c r="D467" s="499"/>
      <c r="E467" s="499"/>
      <c r="F467" s="499"/>
    </row>
    <row r="468" spans="1:6" ht="15">
      <c r="A468" s="501"/>
      <c r="B468" s="500"/>
      <c r="C468" s="499"/>
      <c r="D468" s="499"/>
      <c r="E468" s="499"/>
      <c r="F468" s="499"/>
    </row>
    <row r="469" spans="1:6" ht="15">
      <c r="A469" s="501"/>
      <c r="B469" s="500"/>
      <c r="C469" s="499"/>
      <c r="D469" s="499"/>
      <c r="E469" s="499"/>
      <c r="F469" s="499"/>
    </row>
    <row r="470" spans="1:6" ht="15">
      <c r="A470" s="501"/>
      <c r="B470" s="500"/>
      <c r="C470" s="499"/>
      <c r="D470" s="499"/>
      <c r="E470" s="499"/>
      <c r="F470" s="499"/>
    </row>
    <row r="471" spans="1:6" ht="15">
      <c r="A471" s="501"/>
      <c r="B471" s="500"/>
      <c r="C471" s="499"/>
      <c r="D471" s="499"/>
      <c r="E471" s="499"/>
      <c r="F471" s="499"/>
    </row>
    <row r="472" spans="1:6" ht="15">
      <c r="A472" s="501"/>
      <c r="B472" s="500"/>
      <c r="C472" s="499"/>
      <c r="D472" s="499"/>
      <c r="E472" s="499"/>
      <c r="F472" s="499"/>
    </row>
    <row r="473" spans="1:6" ht="15">
      <c r="A473" s="501"/>
      <c r="B473" s="500"/>
      <c r="C473" s="499"/>
      <c r="D473" s="499"/>
      <c r="E473" s="499"/>
      <c r="F473" s="499"/>
    </row>
    <row r="474" spans="1:6" ht="15">
      <c r="A474" s="501"/>
      <c r="B474" s="500"/>
      <c r="C474" s="499"/>
      <c r="D474" s="499"/>
      <c r="E474" s="499"/>
      <c r="F474" s="499"/>
    </row>
    <row r="475" spans="1:6" ht="15">
      <c r="A475" s="501"/>
      <c r="B475" s="500"/>
      <c r="C475" s="499"/>
      <c r="D475" s="499"/>
      <c r="E475" s="499"/>
      <c r="F475" s="499"/>
    </row>
    <row r="476" spans="1:6" ht="15">
      <c r="A476" s="501"/>
      <c r="B476" s="500"/>
      <c r="C476" s="499"/>
      <c r="D476" s="499"/>
      <c r="E476" s="499"/>
      <c r="F476" s="499"/>
    </row>
    <row r="477" spans="1:6" ht="15">
      <c r="A477" s="501"/>
      <c r="B477" s="500"/>
      <c r="C477" s="499"/>
      <c r="D477" s="499"/>
      <c r="E477" s="499"/>
      <c r="F477" s="499"/>
    </row>
    <row r="478" spans="1:6" ht="15">
      <c r="A478" s="501"/>
      <c r="B478" s="500"/>
      <c r="C478" s="499"/>
      <c r="D478" s="499"/>
      <c r="E478" s="499"/>
      <c r="F478" s="499"/>
    </row>
    <row r="479" spans="1:6" ht="15">
      <c r="A479" s="501"/>
      <c r="B479" s="500"/>
      <c r="C479" s="499"/>
      <c r="D479" s="499"/>
      <c r="E479" s="499"/>
      <c r="F479" s="499"/>
    </row>
    <row r="480" spans="1:6" ht="15">
      <c r="A480" s="501"/>
      <c r="B480" s="500"/>
      <c r="C480" s="499"/>
      <c r="D480" s="499"/>
      <c r="E480" s="499"/>
      <c r="F480" s="499"/>
    </row>
    <row r="481" spans="1:6" ht="15">
      <c r="A481" s="501"/>
      <c r="B481" s="500"/>
      <c r="C481" s="499"/>
      <c r="D481" s="499"/>
      <c r="E481" s="499"/>
      <c r="F481" s="499"/>
    </row>
    <row r="482" spans="1:6" ht="15">
      <c r="A482" s="501"/>
      <c r="B482" s="500"/>
      <c r="C482" s="499"/>
      <c r="D482" s="499"/>
      <c r="E482" s="499"/>
      <c r="F482" s="499"/>
    </row>
    <row r="483" spans="1:6" ht="15">
      <c r="A483" s="501"/>
      <c r="B483" s="500"/>
      <c r="C483" s="499"/>
      <c r="D483" s="499"/>
      <c r="E483" s="499"/>
      <c r="F483" s="499"/>
    </row>
    <row r="484" spans="1:6" ht="15">
      <c r="A484" s="501"/>
      <c r="B484" s="500"/>
      <c r="C484" s="499"/>
      <c r="D484" s="499"/>
      <c r="E484" s="499"/>
      <c r="F484" s="499"/>
    </row>
    <row r="485" spans="1:6" ht="15">
      <c r="A485" s="501"/>
      <c r="B485" s="500"/>
      <c r="C485" s="499"/>
      <c r="D485" s="499"/>
      <c r="E485" s="499"/>
      <c r="F485" s="499"/>
    </row>
    <row r="486" spans="1:6" ht="15">
      <c r="A486" s="501"/>
      <c r="B486" s="500"/>
      <c r="C486" s="499"/>
      <c r="D486" s="499"/>
      <c r="E486" s="499"/>
      <c r="F486" s="499"/>
    </row>
    <row r="487" spans="1:6" ht="15">
      <c r="A487" s="501"/>
      <c r="B487" s="500"/>
      <c r="C487" s="499"/>
      <c r="D487" s="499"/>
      <c r="E487" s="499"/>
      <c r="F487" s="499"/>
    </row>
    <row r="488" spans="1:6" ht="15">
      <c r="A488" s="501"/>
      <c r="B488" s="500"/>
      <c r="C488" s="499"/>
      <c r="D488" s="499"/>
      <c r="E488" s="499"/>
      <c r="F488" s="499"/>
    </row>
    <row r="489" spans="1:6" ht="15">
      <c r="A489" s="501"/>
      <c r="B489" s="500"/>
      <c r="C489" s="499"/>
      <c r="D489" s="499"/>
      <c r="E489" s="499"/>
      <c r="F489" s="499"/>
    </row>
    <row r="490" spans="1:6" ht="15">
      <c r="A490" s="501"/>
      <c r="B490" s="500"/>
      <c r="C490" s="499"/>
      <c r="D490" s="499"/>
      <c r="E490" s="499"/>
      <c r="F490" s="499"/>
    </row>
    <row r="491" spans="1:6" ht="15">
      <c r="A491" s="501"/>
      <c r="B491" s="500"/>
      <c r="C491" s="499"/>
      <c r="D491" s="499"/>
      <c r="E491" s="499"/>
      <c r="F491" s="499"/>
    </row>
    <row r="492" spans="1:6" ht="15">
      <c r="A492" s="501"/>
      <c r="B492" s="500"/>
      <c r="C492" s="499"/>
      <c r="D492" s="499"/>
      <c r="E492" s="499"/>
      <c r="F492" s="499"/>
    </row>
    <row r="493" spans="1:6" ht="15">
      <c r="A493" s="501"/>
      <c r="B493" s="500"/>
      <c r="C493" s="499"/>
      <c r="D493" s="499"/>
      <c r="E493" s="499"/>
      <c r="F493" s="499"/>
    </row>
    <row r="494" spans="1:6" ht="15">
      <c r="A494" s="501"/>
      <c r="B494" s="500"/>
      <c r="C494" s="499"/>
      <c r="D494" s="499"/>
      <c r="E494" s="499"/>
      <c r="F494" s="499"/>
    </row>
    <row r="495" spans="1:6" ht="15">
      <c r="A495" s="501"/>
      <c r="B495" s="500"/>
      <c r="C495" s="499"/>
      <c r="D495" s="499"/>
      <c r="E495" s="499"/>
      <c r="F495" s="499"/>
    </row>
    <row r="496" spans="1:6" ht="15">
      <c r="A496" s="501"/>
      <c r="B496" s="500"/>
      <c r="C496" s="499"/>
      <c r="D496" s="499"/>
      <c r="E496" s="499"/>
      <c r="F496" s="499"/>
    </row>
    <row r="497" spans="1:6" ht="15">
      <c r="A497" s="501"/>
      <c r="B497" s="500"/>
      <c r="C497" s="499"/>
      <c r="D497" s="499"/>
      <c r="E497" s="499"/>
      <c r="F497" s="499"/>
    </row>
    <row r="498" spans="1:6" ht="15">
      <c r="A498" s="501"/>
      <c r="B498" s="500"/>
      <c r="C498" s="499"/>
      <c r="D498" s="499"/>
      <c r="E498" s="499"/>
      <c r="F498" s="499"/>
    </row>
    <row r="499" spans="1:6" ht="15">
      <c r="A499" s="501"/>
      <c r="B499" s="500"/>
      <c r="C499" s="499"/>
      <c r="D499" s="499"/>
      <c r="E499" s="499"/>
      <c r="F499" s="499"/>
    </row>
    <row r="500" spans="1:6" ht="15">
      <c r="A500" s="501"/>
      <c r="B500" s="500"/>
      <c r="C500" s="499"/>
      <c r="D500" s="499"/>
      <c r="E500" s="499"/>
      <c r="F500" s="499"/>
    </row>
    <row r="501" spans="1:6" ht="15">
      <c r="A501" s="501"/>
      <c r="B501" s="500"/>
      <c r="C501" s="499"/>
      <c r="D501" s="499"/>
      <c r="E501" s="499"/>
      <c r="F501" s="499"/>
    </row>
    <row r="502" spans="1:6" ht="15">
      <c r="A502" s="501"/>
      <c r="B502" s="500"/>
      <c r="C502" s="499"/>
      <c r="D502" s="499"/>
      <c r="E502" s="499"/>
      <c r="F502" s="499"/>
    </row>
    <row r="503" spans="1:6" ht="15">
      <c r="A503" s="501"/>
      <c r="B503" s="500"/>
      <c r="C503" s="499"/>
      <c r="D503" s="499"/>
      <c r="E503" s="499"/>
      <c r="F503" s="499"/>
    </row>
    <row r="504" spans="1:6" ht="15">
      <c r="A504" s="501"/>
      <c r="B504" s="500"/>
      <c r="C504" s="499"/>
      <c r="D504" s="499"/>
      <c r="E504" s="499"/>
      <c r="F504" s="499"/>
    </row>
    <row r="505" spans="1:6" ht="15">
      <c r="A505" s="501"/>
      <c r="B505" s="500"/>
      <c r="C505" s="499"/>
      <c r="D505" s="499"/>
      <c r="E505" s="499"/>
      <c r="F505" s="499"/>
    </row>
    <row r="506" spans="1:6" ht="15">
      <c r="A506" s="501"/>
      <c r="B506" s="500"/>
      <c r="C506" s="499"/>
      <c r="D506" s="499"/>
      <c r="E506" s="499"/>
      <c r="F506" s="499"/>
    </row>
    <row r="507" spans="1:6" ht="15">
      <c r="A507" s="501"/>
      <c r="B507" s="500"/>
      <c r="C507" s="499"/>
      <c r="D507" s="499"/>
      <c r="E507" s="499"/>
      <c r="F507" s="499"/>
    </row>
    <row r="508" spans="1:6" ht="15">
      <c r="A508" s="501"/>
      <c r="B508" s="500"/>
      <c r="C508" s="499"/>
      <c r="D508" s="499"/>
      <c r="E508" s="499"/>
      <c r="F508" s="499"/>
    </row>
    <row r="509" spans="1:6" ht="15">
      <c r="A509" s="501"/>
      <c r="B509" s="500"/>
      <c r="C509" s="499"/>
      <c r="D509" s="499"/>
      <c r="E509" s="499"/>
      <c r="F509" s="499"/>
    </row>
    <row r="510" spans="1:6" ht="15">
      <c r="A510" s="501"/>
      <c r="B510" s="500"/>
      <c r="C510" s="499"/>
      <c r="D510" s="499"/>
      <c r="E510" s="499"/>
      <c r="F510" s="499"/>
    </row>
    <row r="511" spans="1:6" ht="15">
      <c r="A511" s="501"/>
      <c r="B511" s="500"/>
      <c r="C511" s="499"/>
      <c r="D511" s="499"/>
      <c r="E511" s="499"/>
      <c r="F511" s="499"/>
    </row>
    <row r="512" spans="1:6" ht="15">
      <c r="A512" s="501"/>
      <c r="B512" s="500"/>
      <c r="C512" s="499"/>
      <c r="D512" s="499"/>
      <c r="E512" s="499"/>
      <c r="F512" s="499"/>
    </row>
    <row r="513" spans="1:6" ht="15">
      <c r="A513" s="501"/>
      <c r="B513" s="500"/>
      <c r="C513" s="499"/>
      <c r="D513" s="499"/>
      <c r="E513" s="499"/>
      <c r="F513" s="499"/>
    </row>
    <row r="514" spans="1:6" ht="15">
      <c r="A514" s="501"/>
      <c r="B514" s="500"/>
      <c r="C514" s="499"/>
      <c r="D514" s="499"/>
      <c r="E514" s="499"/>
      <c r="F514" s="499"/>
    </row>
    <row r="515" spans="1:6" ht="15">
      <c r="A515" s="501"/>
      <c r="B515" s="500"/>
      <c r="C515" s="499"/>
      <c r="D515" s="499"/>
      <c r="E515" s="499"/>
      <c r="F515" s="499"/>
    </row>
    <row r="516" spans="1:6" ht="15">
      <c r="A516" s="501"/>
      <c r="B516" s="500"/>
      <c r="C516" s="499"/>
      <c r="D516" s="499"/>
      <c r="E516" s="499"/>
      <c r="F516" s="499"/>
    </row>
    <row r="517" spans="1:6" ht="15">
      <c r="A517" s="501"/>
      <c r="B517" s="500"/>
      <c r="C517" s="499"/>
      <c r="D517" s="499"/>
      <c r="E517" s="499"/>
      <c r="F517" s="499"/>
    </row>
    <row r="518" spans="1:6" ht="15">
      <c r="A518" s="501"/>
      <c r="B518" s="500"/>
      <c r="C518" s="499"/>
      <c r="D518" s="499"/>
      <c r="E518" s="499"/>
      <c r="F518" s="499"/>
    </row>
    <row r="519" spans="1:6" ht="15">
      <c r="A519" s="501"/>
      <c r="B519" s="500"/>
      <c r="C519" s="499"/>
      <c r="D519" s="499"/>
      <c r="E519" s="499"/>
      <c r="F519" s="499"/>
    </row>
    <row r="520" spans="1:6" ht="15">
      <c r="A520" s="501"/>
      <c r="B520" s="500"/>
      <c r="C520" s="499"/>
      <c r="D520" s="499"/>
      <c r="E520" s="499"/>
      <c r="F520" s="499"/>
    </row>
    <row r="521" spans="1:6" ht="15">
      <c r="A521" s="501"/>
      <c r="B521" s="500"/>
      <c r="C521" s="499"/>
      <c r="D521" s="499"/>
      <c r="E521" s="499"/>
      <c r="F521" s="499"/>
    </row>
    <row r="522" spans="1:6" ht="15">
      <c r="A522" s="501"/>
      <c r="B522" s="500"/>
      <c r="C522" s="499"/>
      <c r="D522" s="499"/>
      <c r="E522" s="499"/>
      <c r="F522" s="499"/>
    </row>
    <row r="523" spans="1:6" ht="15">
      <c r="A523" s="501"/>
      <c r="B523" s="500"/>
      <c r="C523" s="499"/>
      <c r="D523" s="499"/>
      <c r="E523" s="499"/>
      <c r="F523" s="499"/>
    </row>
    <row r="524" spans="1:6" ht="15">
      <c r="A524" s="501"/>
      <c r="B524" s="500"/>
      <c r="C524" s="499"/>
      <c r="D524" s="499"/>
      <c r="E524" s="499"/>
      <c r="F524" s="499"/>
    </row>
    <row r="525" spans="1:6" ht="15">
      <c r="A525" s="501"/>
      <c r="B525" s="500"/>
      <c r="C525" s="499"/>
      <c r="D525" s="499"/>
      <c r="E525" s="499"/>
      <c r="F525" s="499"/>
    </row>
    <row r="526" spans="1:6" ht="15">
      <c r="A526" s="501"/>
      <c r="B526" s="500"/>
      <c r="C526" s="499"/>
      <c r="D526" s="499"/>
      <c r="E526" s="499"/>
      <c r="F526" s="499"/>
    </row>
    <row r="527" spans="1:6" ht="15">
      <c r="A527" s="501"/>
      <c r="B527" s="500"/>
      <c r="C527" s="499"/>
      <c r="D527" s="499"/>
      <c r="E527" s="499"/>
      <c r="F527" s="499"/>
    </row>
    <row r="528" spans="1:6" ht="15">
      <c r="A528" s="501"/>
      <c r="B528" s="500"/>
      <c r="C528" s="499"/>
      <c r="D528" s="499"/>
      <c r="E528" s="499"/>
      <c r="F528" s="499"/>
    </row>
    <row r="529" spans="1:6" ht="15">
      <c r="A529" s="501"/>
      <c r="B529" s="500"/>
      <c r="C529" s="499"/>
      <c r="D529" s="499"/>
      <c r="E529" s="499"/>
      <c r="F529" s="499"/>
    </row>
    <row r="530" spans="1:6" ht="15">
      <c r="A530" s="501"/>
      <c r="B530" s="500"/>
      <c r="C530" s="499"/>
      <c r="D530" s="499"/>
      <c r="E530" s="499"/>
      <c r="F530" s="499"/>
    </row>
    <row r="531" spans="1:6" ht="15">
      <c r="A531" s="501"/>
      <c r="B531" s="500"/>
      <c r="C531" s="499"/>
      <c r="D531" s="499"/>
      <c r="E531" s="499"/>
      <c r="F531" s="499"/>
    </row>
    <row r="532" spans="1:6" ht="15">
      <c r="A532" s="501"/>
      <c r="B532" s="500"/>
      <c r="C532" s="499"/>
      <c r="D532" s="499"/>
      <c r="E532" s="499"/>
      <c r="F532" s="499"/>
    </row>
    <row r="533" spans="1:6" ht="15">
      <c r="A533" s="501"/>
      <c r="B533" s="500"/>
      <c r="C533" s="499"/>
      <c r="D533" s="499"/>
      <c r="E533" s="499"/>
      <c r="F533" s="499"/>
    </row>
    <row r="534" spans="1:6" ht="15">
      <c r="A534" s="501"/>
      <c r="B534" s="500"/>
      <c r="C534" s="499"/>
      <c r="D534" s="499"/>
      <c r="E534" s="499"/>
      <c r="F534" s="499"/>
    </row>
    <row r="535" spans="1:6" ht="15">
      <c r="A535" s="501"/>
      <c r="B535" s="500"/>
      <c r="C535" s="499"/>
      <c r="D535" s="499"/>
      <c r="E535" s="499"/>
      <c r="F535" s="499"/>
    </row>
    <row r="536" spans="1:6" ht="15">
      <c r="A536" s="501"/>
      <c r="B536" s="500"/>
      <c r="C536" s="499"/>
      <c r="D536" s="499"/>
      <c r="E536" s="499"/>
      <c r="F536" s="499"/>
    </row>
    <row r="537" spans="1:6" ht="15">
      <c r="A537" s="501"/>
      <c r="B537" s="500"/>
      <c r="C537" s="499"/>
      <c r="D537" s="499"/>
      <c r="E537" s="499"/>
      <c r="F537" s="499"/>
    </row>
    <row r="538" spans="1:6" ht="15">
      <c r="A538" s="501"/>
      <c r="B538" s="500"/>
      <c r="C538" s="499"/>
      <c r="D538" s="499"/>
      <c r="E538" s="499"/>
      <c r="F538" s="499"/>
    </row>
    <row r="539" spans="1:6" ht="15">
      <c r="A539" s="501"/>
      <c r="B539" s="500"/>
      <c r="C539" s="499"/>
      <c r="D539" s="499"/>
      <c r="E539" s="499"/>
      <c r="F539" s="499"/>
    </row>
    <row r="540" spans="1:6" ht="15">
      <c r="A540" s="501"/>
      <c r="B540" s="500"/>
      <c r="C540" s="499"/>
      <c r="D540" s="499"/>
      <c r="E540" s="499"/>
      <c r="F540" s="499"/>
    </row>
    <row r="541" spans="1:6" ht="15">
      <c r="A541" s="501"/>
      <c r="B541" s="500"/>
      <c r="C541" s="499"/>
      <c r="D541" s="499"/>
      <c r="E541" s="499"/>
      <c r="F541" s="499"/>
    </row>
    <row r="542" spans="1:6" ht="15">
      <c r="A542" s="501"/>
      <c r="B542" s="500"/>
      <c r="C542" s="499"/>
      <c r="D542" s="499"/>
      <c r="E542" s="499"/>
      <c r="F542" s="499"/>
    </row>
    <row r="543" spans="1:6" ht="15">
      <c r="A543" s="501"/>
      <c r="B543" s="500"/>
      <c r="C543" s="499"/>
      <c r="D543" s="499"/>
      <c r="E543" s="499"/>
      <c r="F543" s="499"/>
    </row>
    <row r="544" spans="1:6" ht="15">
      <c r="A544" s="501"/>
      <c r="B544" s="500"/>
      <c r="C544" s="499"/>
      <c r="D544" s="499"/>
      <c r="E544" s="499"/>
      <c r="F544" s="499"/>
    </row>
    <row r="545" spans="1:6" ht="15">
      <c r="A545" s="501"/>
      <c r="B545" s="500"/>
      <c r="C545" s="499"/>
      <c r="D545" s="499"/>
      <c r="E545" s="499"/>
      <c r="F545" s="499"/>
    </row>
    <row r="546" spans="1:6" ht="15">
      <c r="A546" s="501"/>
      <c r="B546" s="500"/>
      <c r="C546" s="499"/>
      <c r="D546" s="499"/>
      <c r="E546" s="499"/>
      <c r="F546" s="499"/>
    </row>
    <row r="547" spans="1:6" ht="15">
      <c r="A547" s="501"/>
      <c r="B547" s="500"/>
      <c r="C547" s="499"/>
      <c r="D547" s="499"/>
      <c r="E547" s="499"/>
      <c r="F547" s="499"/>
    </row>
    <row r="548" spans="1:6" ht="15">
      <c r="A548" s="501"/>
      <c r="B548" s="500"/>
      <c r="C548" s="499"/>
      <c r="D548" s="499"/>
      <c r="E548" s="499"/>
      <c r="F548" s="499"/>
    </row>
    <row r="549" spans="1:6" ht="15">
      <c r="A549" s="501"/>
      <c r="B549" s="500"/>
      <c r="C549" s="499"/>
      <c r="D549" s="499"/>
      <c r="E549" s="499"/>
      <c r="F549" s="499"/>
    </row>
    <row r="550" spans="1:6" ht="15">
      <c r="A550" s="501"/>
      <c r="B550" s="500"/>
      <c r="C550" s="499"/>
      <c r="D550" s="499"/>
      <c r="E550" s="499"/>
      <c r="F550" s="499"/>
    </row>
    <row r="551" spans="1:6" ht="15">
      <c r="A551" s="501"/>
      <c r="B551" s="500"/>
      <c r="C551" s="499"/>
      <c r="D551" s="499"/>
      <c r="E551" s="499"/>
      <c r="F551" s="499"/>
    </row>
    <row r="552" spans="1:6" ht="15">
      <c r="A552" s="501"/>
      <c r="B552" s="500"/>
      <c r="C552" s="499"/>
      <c r="D552" s="499"/>
      <c r="E552" s="499"/>
      <c r="F552" s="499"/>
    </row>
    <row r="553" spans="1:6" ht="15">
      <c r="A553" s="501"/>
      <c r="B553" s="500"/>
      <c r="C553" s="499"/>
      <c r="D553" s="499"/>
      <c r="E553" s="499"/>
      <c r="F553" s="499"/>
    </row>
    <row r="554" spans="1:6" ht="15">
      <c r="A554" s="501"/>
      <c r="B554" s="500"/>
      <c r="C554" s="499"/>
      <c r="D554" s="499"/>
      <c r="E554" s="499"/>
      <c r="F554" s="499"/>
    </row>
    <row r="555" spans="1:6" ht="15">
      <c r="A555" s="501"/>
      <c r="B555" s="500"/>
      <c r="C555" s="499"/>
      <c r="D555" s="499"/>
      <c r="E555" s="499"/>
      <c r="F555" s="499"/>
    </row>
    <row r="556" spans="1:6" ht="15">
      <c r="A556" s="501"/>
      <c r="B556" s="500"/>
      <c r="C556" s="499"/>
      <c r="D556" s="499"/>
      <c r="E556" s="499"/>
      <c r="F556" s="499"/>
    </row>
    <row r="557" spans="1:6" ht="15">
      <c r="A557" s="501"/>
      <c r="B557" s="500"/>
      <c r="C557" s="499"/>
      <c r="D557" s="499"/>
      <c r="E557" s="499"/>
      <c r="F557" s="499"/>
    </row>
    <row r="558" spans="1:6" ht="15">
      <c r="A558" s="501"/>
      <c r="B558" s="500"/>
      <c r="C558" s="499"/>
      <c r="D558" s="499"/>
      <c r="E558" s="499"/>
      <c r="F558" s="499"/>
    </row>
    <row r="559" spans="1:6" ht="15">
      <c r="A559" s="501"/>
      <c r="B559" s="500"/>
      <c r="C559" s="499"/>
      <c r="D559" s="499"/>
      <c r="E559" s="499"/>
      <c r="F559" s="499"/>
    </row>
    <row r="560" spans="1:6" ht="15">
      <c r="A560" s="501"/>
      <c r="B560" s="500"/>
      <c r="C560" s="499"/>
      <c r="D560" s="499"/>
      <c r="E560" s="499"/>
      <c r="F560" s="499"/>
    </row>
    <row r="561" spans="1:6" ht="15">
      <c r="A561" s="501"/>
      <c r="B561" s="500"/>
      <c r="C561" s="499"/>
      <c r="D561" s="499"/>
      <c r="E561" s="499"/>
      <c r="F561" s="499"/>
    </row>
    <row r="562" spans="1:6" ht="15">
      <c r="A562" s="501"/>
      <c r="B562" s="500"/>
      <c r="C562" s="499"/>
      <c r="D562" s="499"/>
      <c r="E562" s="499"/>
      <c r="F562" s="499"/>
    </row>
    <row r="563" spans="1:6" ht="15">
      <c r="A563" s="501"/>
      <c r="B563" s="500"/>
      <c r="C563" s="499"/>
      <c r="D563" s="499"/>
      <c r="E563" s="499"/>
      <c r="F563" s="499"/>
    </row>
    <row r="564" spans="1:6" ht="15">
      <c r="A564" s="501"/>
      <c r="B564" s="500"/>
      <c r="C564" s="499"/>
      <c r="D564" s="499"/>
      <c r="E564" s="499"/>
      <c r="F564" s="499"/>
    </row>
    <row r="565" spans="1:6" ht="15">
      <c r="A565" s="501"/>
      <c r="B565" s="500"/>
      <c r="C565" s="499"/>
      <c r="D565" s="499"/>
      <c r="E565" s="499"/>
      <c r="F565" s="499"/>
    </row>
    <row r="566" spans="1:6" ht="15">
      <c r="A566" s="501"/>
      <c r="B566" s="500"/>
      <c r="C566" s="499"/>
      <c r="D566" s="499"/>
      <c r="E566" s="499"/>
      <c r="F566" s="499"/>
    </row>
    <row r="567" spans="1:6" ht="15">
      <c r="A567" s="501"/>
      <c r="B567" s="500"/>
      <c r="C567" s="499"/>
      <c r="D567" s="499"/>
      <c r="E567" s="499"/>
      <c r="F567" s="499"/>
    </row>
    <row r="568" spans="1:6" ht="15">
      <c r="A568" s="501"/>
      <c r="B568" s="500"/>
      <c r="C568" s="499"/>
      <c r="D568" s="499"/>
      <c r="E568" s="499"/>
      <c r="F568" s="499"/>
    </row>
    <row r="569" spans="1:6" ht="15">
      <c r="A569" s="501"/>
      <c r="B569" s="500"/>
      <c r="C569" s="499"/>
      <c r="D569" s="499"/>
      <c r="E569" s="499"/>
      <c r="F569" s="499"/>
    </row>
    <row r="570" spans="1:6" ht="15">
      <c r="A570" s="501"/>
      <c r="B570" s="500"/>
      <c r="C570" s="499"/>
      <c r="D570" s="499"/>
      <c r="E570" s="499"/>
      <c r="F570" s="499"/>
    </row>
    <row r="571" spans="1:6" ht="15">
      <c r="A571" s="501"/>
      <c r="B571" s="500"/>
      <c r="C571" s="499"/>
      <c r="D571" s="499"/>
      <c r="E571" s="499"/>
      <c r="F571" s="499"/>
    </row>
    <row r="572" spans="1:6" ht="15">
      <c r="A572" s="501"/>
      <c r="B572" s="500"/>
      <c r="C572" s="499"/>
      <c r="D572" s="499"/>
      <c r="E572" s="499"/>
      <c r="F572" s="499"/>
    </row>
    <row r="573" spans="1:6" ht="15">
      <c r="A573" s="501"/>
      <c r="B573" s="500"/>
      <c r="C573" s="499"/>
      <c r="D573" s="499"/>
      <c r="E573" s="499"/>
      <c r="F573" s="499"/>
    </row>
    <row r="574" spans="1:6" ht="15">
      <c r="A574" s="501"/>
      <c r="B574" s="500"/>
      <c r="C574" s="499"/>
      <c r="D574" s="499"/>
      <c r="E574" s="499"/>
      <c r="F574" s="499"/>
    </row>
    <row r="575" spans="1:6" ht="15">
      <c r="A575" s="501"/>
      <c r="B575" s="500"/>
      <c r="C575" s="499"/>
      <c r="D575" s="499"/>
      <c r="E575" s="499"/>
      <c r="F575" s="499"/>
    </row>
    <row r="576" spans="1:6" ht="15">
      <c r="A576" s="501"/>
      <c r="B576" s="500"/>
      <c r="C576" s="499"/>
      <c r="D576" s="499"/>
      <c r="E576" s="499"/>
      <c r="F576" s="499"/>
    </row>
    <row r="577" spans="1:6" ht="15">
      <c r="A577" s="501"/>
      <c r="B577" s="500"/>
      <c r="C577" s="499"/>
      <c r="D577" s="499"/>
      <c r="E577" s="499"/>
      <c r="F577" s="499"/>
    </row>
    <row r="578" spans="1:6" ht="15">
      <c r="A578" s="501"/>
      <c r="B578" s="500"/>
      <c r="C578" s="499"/>
      <c r="D578" s="499"/>
      <c r="E578" s="499"/>
      <c r="F578" s="499"/>
    </row>
    <row r="579" spans="1:6" ht="15">
      <c r="A579" s="501"/>
      <c r="B579" s="500"/>
      <c r="C579" s="499"/>
      <c r="D579" s="499"/>
      <c r="E579" s="499"/>
      <c r="F579" s="499"/>
    </row>
    <row r="580" spans="1:6" ht="15">
      <c r="A580" s="501"/>
      <c r="B580" s="500"/>
      <c r="C580" s="499"/>
      <c r="D580" s="499"/>
      <c r="E580" s="499"/>
      <c r="F580" s="499"/>
    </row>
    <row r="581" spans="1:6" ht="15">
      <c r="A581" s="501"/>
      <c r="B581" s="500"/>
      <c r="C581" s="499"/>
      <c r="D581" s="499"/>
      <c r="E581" s="499"/>
      <c r="F581" s="499"/>
    </row>
    <row r="582" spans="1:6" ht="15">
      <c r="A582" s="501"/>
      <c r="B582" s="500"/>
      <c r="C582" s="499"/>
      <c r="D582" s="499"/>
      <c r="E582" s="499"/>
      <c r="F582" s="499"/>
    </row>
    <row r="583" spans="1:6" ht="15">
      <c r="A583" s="501"/>
      <c r="B583" s="500"/>
      <c r="C583" s="499"/>
      <c r="D583" s="499"/>
      <c r="E583" s="499"/>
      <c r="F583" s="499"/>
    </row>
    <row r="584" spans="1:6" ht="15">
      <c r="A584" s="501"/>
      <c r="B584" s="500"/>
      <c r="C584" s="499"/>
      <c r="D584" s="499"/>
      <c r="E584" s="499"/>
      <c r="F584" s="499"/>
    </row>
    <row r="585" spans="1:6" ht="15">
      <c r="A585" s="501"/>
      <c r="B585" s="500"/>
      <c r="C585" s="499"/>
      <c r="D585" s="499"/>
      <c r="E585" s="499"/>
      <c r="F585" s="499"/>
    </row>
    <row r="586" spans="1:6" ht="15">
      <c r="A586" s="501"/>
      <c r="B586" s="500"/>
      <c r="C586" s="499"/>
      <c r="D586" s="499"/>
      <c r="E586" s="499"/>
      <c r="F586" s="499"/>
    </row>
    <row r="587" spans="1:6" ht="15">
      <c r="A587" s="501"/>
      <c r="B587" s="500"/>
      <c r="C587" s="499"/>
      <c r="D587" s="499"/>
      <c r="E587" s="499"/>
      <c r="F587" s="499"/>
    </row>
    <row r="588" spans="1:6" ht="15">
      <c r="A588" s="501"/>
      <c r="B588" s="500"/>
      <c r="C588" s="499"/>
      <c r="D588" s="499"/>
      <c r="E588" s="499"/>
      <c r="F588" s="499"/>
    </row>
    <row r="589" spans="1:6" ht="15">
      <c r="A589" s="501"/>
      <c r="B589" s="500"/>
      <c r="C589" s="499"/>
      <c r="D589" s="499"/>
      <c r="E589" s="499"/>
      <c r="F589" s="499"/>
    </row>
    <row r="590" spans="1:6" ht="15">
      <c r="A590" s="501"/>
      <c r="B590" s="500"/>
      <c r="C590" s="499"/>
      <c r="D590" s="499"/>
      <c r="E590" s="499"/>
      <c r="F590" s="499"/>
    </row>
    <row r="591" spans="1:6" ht="15">
      <c r="A591" s="501"/>
      <c r="B591" s="500"/>
      <c r="C591" s="499"/>
      <c r="D591" s="499"/>
      <c r="E591" s="499"/>
      <c r="F591" s="499"/>
    </row>
    <row r="592" spans="1:6" ht="15">
      <c r="A592" s="501"/>
      <c r="B592" s="500"/>
      <c r="C592" s="499"/>
      <c r="D592" s="499"/>
      <c r="E592" s="499"/>
      <c r="F592" s="499"/>
    </row>
    <row r="593" spans="1:6" ht="15">
      <c r="A593" s="501"/>
      <c r="B593" s="500"/>
      <c r="C593" s="499"/>
      <c r="D593" s="499"/>
      <c r="E593" s="499"/>
      <c r="F593" s="499"/>
    </row>
    <row r="594" spans="1:6" ht="15">
      <c r="A594" s="501"/>
      <c r="B594" s="500"/>
      <c r="C594" s="499"/>
      <c r="D594" s="499"/>
      <c r="E594" s="499"/>
      <c r="F594" s="499"/>
    </row>
    <row r="595" spans="1:6" ht="15">
      <c r="A595" s="501"/>
      <c r="B595" s="500"/>
      <c r="C595" s="499"/>
      <c r="D595" s="499"/>
      <c r="E595" s="499"/>
      <c r="F595" s="499"/>
    </row>
    <row r="596" spans="1:6" ht="15">
      <c r="A596" s="501"/>
      <c r="B596" s="500"/>
      <c r="C596" s="499"/>
      <c r="D596" s="499"/>
      <c r="E596" s="499"/>
      <c r="F596" s="499"/>
    </row>
    <row r="597" spans="1:6" ht="15">
      <c r="A597" s="501"/>
      <c r="B597" s="500"/>
      <c r="C597" s="499"/>
      <c r="D597" s="499"/>
      <c r="E597" s="499"/>
      <c r="F597" s="499"/>
    </row>
    <row r="598" spans="1:6" ht="15">
      <c r="A598" s="501"/>
      <c r="B598" s="500"/>
      <c r="C598" s="499"/>
      <c r="D598" s="499"/>
      <c r="E598" s="499"/>
      <c r="F598" s="499"/>
    </row>
    <row r="599" spans="1:6" ht="15">
      <c r="A599" s="501"/>
      <c r="B599" s="500"/>
      <c r="C599" s="499"/>
      <c r="D599" s="499"/>
      <c r="E599" s="499"/>
      <c r="F599" s="499"/>
    </row>
    <row r="600" spans="1:6" ht="15">
      <c r="A600" s="501"/>
      <c r="B600" s="500"/>
      <c r="C600" s="499"/>
      <c r="D600" s="499"/>
      <c r="E600" s="499"/>
      <c r="F600" s="499"/>
    </row>
    <row r="601" spans="1:6" ht="15">
      <c r="A601" s="501"/>
      <c r="B601" s="500"/>
      <c r="C601" s="499"/>
      <c r="D601" s="499"/>
      <c r="E601" s="499"/>
      <c r="F601" s="499"/>
    </row>
    <row r="602" spans="1:6" ht="15">
      <c r="A602" s="501"/>
      <c r="B602" s="500"/>
      <c r="C602" s="499"/>
      <c r="D602" s="499"/>
      <c r="E602" s="499"/>
      <c r="F602" s="499"/>
    </row>
    <row r="603" spans="1:6" ht="15">
      <c r="A603" s="501"/>
      <c r="B603" s="500"/>
      <c r="C603" s="499"/>
      <c r="D603" s="499"/>
      <c r="E603" s="499"/>
      <c r="F603" s="499"/>
    </row>
    <row r="604" spans="1:6" ht="15">
      <c r="A604" s="501"/>
      <c r="B604" s="500"/>
      <c r="C604" s="499"/>
      <c r="D604" s="499"/>
      <c r="E604" s="499"/>
      <c r="F604" s="499"/>
    </row>
    <row r="605" spans="1:6" ht="15">
      <c r="A605" s="501"/>
      <c r="B605" s="500"/>
      <c r="C605" s="499"/>
      <c r="D605" s="499"/>
      <c r="E605" s="499"/>
      <c r="F605" s="499"/>
    </row>
    <row r="606" spans="1:6" ht="15">
      <c r="A606" s="501"/>
      <c r="B606" s="500"/>
      <c r="C606" s="499"/>
      <c r="D606" s="499"/>
      <c r="E606" s="499"/>
      <c r="F606" s="499"/>
    </row>
    <row r="607" spans="1:6" ht="15">
      <c r="A607" s="501"/>
      <c r="B607" s="500"/>
      <c r="C607" s="499"/>
      <c r="D607" s="499"/>
      <c r="E607" s="499"/>
      <c r="F607" s="499"/>
    </row>
    <row r="608" spans="1:6" ht="15">
      <c r="A608" s="501"/>
      <c r="B608" s="500"/>
      <c r="C608" s="499"/>
      <c r="D608" s="499"/>
      <c r="E608" s="499"/>
      <c r="F608" s="499"/>
    </row>
    <row r="609" spans="1:6" ht="15">
      <c r="A609" s="501"/>
      <c r="B609" s="500"/>
      <c r="C609" s="499"/>
      <c r="D609" s="499"/>
      <c r="E609" s="499"/>
      <c r="F609" s="499"/>
    </row>
    <row r="610" spans="1:6" ht="15">
      <c r="A610" s="501"/>
      <c r="B610" s="500"/>
      <c r="C610" s="499"/>
      <c r="D610" s="499"/>
      <c r="E610" s="499"/>
      <c r="F610" s="499"/>
    </row>
    <row r="611" spans="1:6" ht="15">
      <c r="A611" s="501"/>
      <c r="B611" s="500"/>
      <c r="C611" s="499"/>
      <c r="D611" s="499"/>
      <c r="E611" s="499"/>
      <c r="F611" s="499"/>
    </row>
    <row r="612" spans="1:6" ht="15">
      <c r="A612" s="501"/>
      <c r="B612" s="500"/>
      <c r="C612" s="499"/>
      <c r="D612" s="499"/>
      <c r="E612" s="499"/>
      <c r="F612" s="499"/>
    </row>
    <row r="613" spans="1:6" ht="15">
      <c r="A613" s="501"/>
      <c r="B613" s="500"/>
      <c r="C613" s="499"/>
      <c r="D613" s="499"/>
      <c r="E613" s="499"/>
      <c r="F613" s="499"/>
    </row>
    <row r="614" spans="1:6" ht="15">
      <c r="A614" s="501"/>
      <c r="B614" s="500"/>
      <c r="C614" s="499"/>
      <c r="D614" s="499"/>
      <c r="E614" s="499"/>
      <c r="F614" s="499"/>
    </row>
    <row r="615" spans="1:6" ht="15">
      <c r="A615" s="501"/>
      <c r="B615" s="500"/>
      <c r="C615" s="499"/>
      <c r="D615" s="499"/>
      <c r="E615" s="499"/>
      <c r="F615" s="499"/>
    </row>
    <row r="616" spans="1:6" ht="15">
      <c r="A616" s="501"/>
      <c r="B616" s="500"/>
      <c r="C616" s="499"/>
      <c r="D616" s="499"/>
      <c r="E616" s="499"/>
      <c r="F616" s="499"/>
    </row>
    <row r="617" spans="1:6" ht="15">
      <c r="A617" s="501"/>
      <c r="B617" s="500"/>
      <c r="C617" s="499"/>
      <c r="D617" s="499"/>
      <c r="E617" s="499"/>
      <c r="F617" s="499"/>
    </row>
    <row r="618" spans="1:6" ht="15">
      <c r="A618" s="501"/>
      <c r="B618" s="500"/>
      <c r="C618" s="499"/>
      <c r="D618" s="499"/>
      <c r="E618" s="499"/>
      <c r="F618" s="499"/>
    </row>
    <row r="619" spans="1:6" ht="15">
      <c r="A619" s="501"/>
      <c r="B619" s="500"/>
      <c r="C619" s="499"/>
      <c r="D619" s="499"/>
      <c r="E619" s="499"/>
      <c r="F619" s="499"/>
    </row>
    <row r="620" spans="1:6" ht="15">
      <c r="A620" s="501"/>
      <c r="B620" s="500"/>
      <c r="C620" s="499"/>
      <c r="D620" s="499"/>
      <c r="E620" s="499"/>
      <c r="F620" s="499"/>
    </row>
    <row r="621" spans="1:6" ht="15">
      <c r="A621" s="501"/>
      <c r="B621" s="500"/>
      <c r="C621" s="499"/>
      <c r="D621" s="499"/>
      <c r="E621" s="499"/>
      <c r="F621" s="499"/>
    </row>
    <row r="622" spans="1:6" ht="15">
      <c r="A622" s="501"/>
      <c r="B622" s="500"/>
      <c r="C622" s="499"/>
      <c r="D622" s="499"/>
      <c r="E622" s="499"/>
      <c r="F622" s="499"/>
    </row>
    <row r="623" spans="1:6" ht="15">
      <c r="A623" s="501"/>
      <c r="B623" s="500"/>
      <c r="C623" s="499"/>
      <c r="D623" s="499"/>
      <c r="E623" s="499"/>
      <c r="F623" s="499"/>
    </row>
    <row r="624" spans="1:6" ht="15">
      <c r="A624" s="501"/>
      <c r="B624" s="500"/>
      <c r="C624" s="499"/>
      <c r="D624" s="499"/>
      <c r="E624" s="499"/>
      <c r="F624" s="499"/>
    </row>
    <row r="625" spans="1:6" ht="15">
      <c r="A625" s="501"/>
      <c r="B625" s="500"/>
      <c r="C625" s="499"/>
      <c r="D625" s="499"/>
      <c r="E625" s="499"/>
      <c r="F625" s="499"/>
    </row>
    <row r="626" spans="1:6" ht="15">
      <c r="A626" s="501"/>
      <c r="B626" s="500"/>
      <c r="C626" s="499"/>
      <c r="D626" s="499"/>
      <c r="E626" s="499"/>
      <c r="F626" s="499"/>
    </row>
    <row r="627" spans="1:6" ht="15">
      <c r="A627" s="501"/>
      <c r="B627" s="500"/>
      <c r="C627" s="499"/>
      <c r="D627" s="499"/>
      <c r="E627" s="499"/>
      <c r="F627" s="499"/>
    </row>
    <row r="628" spans="1:6" ht="15">
      <c r="A628" s="501"/>
      <c r="B628" s="500"/>
      <c r="C628" s="499"/>
      <c r="D628" s="499"/>
      <c r="E628" s="499"/>
      <c r="F628" s="499"/>
    </row>
    <row r="629" spans="1:6" ht="15">
      <c r="A629" s="501"/>
      <c r="B629" s="500"/>
      <c r="C629" s="499"/>
      <c r="D629" s="499"/>
      <c r="E629" s="499"/>
      <c r="F629" s="499"/>
    </row>
    <row r="630" spans="1:6" ht="15">
      <c r="A630" s="501"/>
      <c r="B630" s="500"/>
      <c r="C630" s="499"/>
      <c r="D630" s="499"/>
      <c r="E630" s="499"/>
      <c r="F630" s="499"/>
    </row>
    <row r="631" spans="1:6" ht="15">
      <c r="A631" s="501"/>
      <c r="B631" s="500"/>
      <c r="C631" s="499"/>
      <c r="D631" s="499"/>
      <c r="E631" s="499"/>
      <c r="F631" s="499"/>
    </row>
    <row r="632" spans="1:6" ht="15">
      <c r="A632" s="501"/>
      <c r="B632" s="500"/>
      <c r="C632" s="499"/>
      <c r="D632" s="499"/>
      <c r="E632" s="499"/>
      <c r="F632" s="499"/>
    </row>
    <row r="633" spans="1:6" ht="15">
      <c r="A633" s="501"/>
      <c r="B633" s="500"/>
      <c r="C633" s="499"/>
      <c r="D633" s="499"/>
      <c r="E633" s="499"/>
      <c r="F633" s="499"/>
    </row>
    <row r="634" spans="1:6" ht="15">
      <c r="A634" s="501"/>
      <c r="B634" s="500"/>
      <c r="C634" s="499"/>
      <c r="D634" s="499"/>
      <c r="E634" s="499"/>
      <c r="F634" s="499"/>
    </row>
    <row r="635" spans="1:6" ht="15">
      <c r="A635" s="501"/>
      <c r="B635" s="500"/>
      <c r="C635" s="499"/>
      <c r="D635" s="499"/>
      <c r="E635" s="499"/>
      <c r="F635" s="499"/>
    </row>
    <row r="636" spans="1:6" ht="15">
      <c r="A636" s="501"/>
      <c r="B636" s="500"/>
      <c r="C636" s="499"/>
      <c r="D636" s="499"/>
      <c r="E636" s="499"/>
      <c r="F636" s="499"/>
    </row>
    <row r="637" spans="1:6" ht="15">
      <c r="A637" s="501"/>
      <c r="B637" s="500"/>
      <c r="C637" s="499"/>
      <c r="D637" s="499"/>
      <c r="E637" s="499"/>
      <c r="F637" s="499"/>
    </row>
    <row r="638" spans="1:6" ht="15">
      <c r="A638" s="501"/>
      <c r="B638" s="500"/>
      <c r="C638" s="499"/>
      <c r="D638" s="499"/>
      <c r="E638" s="499"/>
      <c r="F638" s="499"/>
    </row>
    <row r="639" spans="1:6" ht="15">
      <c r="A639" s="501"/>
      <c r="B639" s="500"/>
      <c r="C639" s="499"/>
      <c r="D639" s="499"/>
      <c r="E639" s="499"/>
      <c r="F639" s="499"/>
    </row>
    <row r="640" spans="1:6" ht="15">
      <c r="A640" s="501"/>
      <c r="B640" s="500"/>
      <c r="C640" s="499"/>
      <c r="D640" s="499"/>
      <c r="E640" s="499"/>
      <c r="F640" s="499"/>
    </row>
    <row r="641" spans="1:6" ht="15">
      <c r="A641" s="501"/>
      <c r="B641" s="500"/>
      <c r="C641" s="499"/>
      <c r="D641" s="499"/>
      <c r="E641" s="499"/>
      <c r="F641" s="499"/>
    </row>
    <row r="642" spans="1:6" ht="15">
      <c r="A642" s="501"/>
      <c r="B642" s="500"/>
      <c r="C642" s="499"/>
      <c r="D642" s="499"/>
      <c r="E642" s="499"/>
      <c r="F642" s="499"/>
    </row>
    <row r="643" spans="1:6" ht="15">
      <c r="A643" s="501"/>
      <c r="B643" s="500"/>
      <c r="C643" s="499"/>
      <c r="D643" s="499"/>
      <c r="E643" s="499"/>
      <c r="F643" s="499"/>
    </row>
    <row r="644" spans="1:6" ht="15">
      <c r="A644" s="501"/>
      <c r="B644" s="500"/>
      <c r="C644" s="499"/>
      <c r="D644" s="499"/>
      <c r="E644" s="499"/>
      <c r="F644" s="499"/>
    </row>
    <row r="645" spans="1:6" ht="15">
      <c r="A645" s="501"/>
      <c r="B645" s="500"/>
      <c r="C645" s="499"/>
      <c r="D645" s="499"/>
      <c r="E645" s="499"/>
      <c r="F645" s="499"/>
    </row>
    <row r="646" spans="1:6" ht="15">
      <c r="A646" s="501"/>
      <c r="B646" s="500"/>
      <c r="C646" s="499"/>
      <c r="D646" s="499"/>
      <c r="E646" s="499"/>
      <c r="F646" s="499"/>
    </row>
    <row r="647" spans="1:6" ht="15">
      <c r="A647" s="501"/>
      <c r="B647" s="500"/>
      <c r="C647" s="499"/>
      <c r="D647" s="499"/>
      <c r="E647" s="499"/>
      <c r="F647" s="499"/>
    </row>
    <row r="648" spans="1:6" ht="15">
      <c r="A648" s="501"/>
      <c r="B648" s="500"/>
      <c r="C648" s="499"/>
      <c r="D648" s="499"/>
      <c r="E648" s="499"/>
      <c r="F648" s="499"/>
    </row>
    <row r="649" spans="1:6" ht="15">
      <c r="A649" s="501"/>
      <c r="B649" s="500"/>
      <c r="C649" s="499"/>
      <c r="D649" s="499"/>
      <c r="E649" s="499"/>
      <c r="F649" s="499"/>
    </row>
    <row r="650" spans="1:6" ht="15">
      <c r="A650" s="501"/>
      <c r="B650" s="500"/>
      <c r="C650" s="499"/>
      <c r="D650" s="499"/>
      <c r="E650" s="499"/>
      <c r="F650" s="499"/>
    </row>
    <row r="651" spans="1:6" ht="15">
      <c r="A651" s="501"/>
      <c r="B651" s="500"/>
      <c r="C651" s="499"/>
      <c r="D651" s="499"/>
      <c r="E651" s="499"/>
      <c r="F651" s="499"/>
    </row>
    <row r="652" spans="1:6" ht="15">
      <c r="A652" s="501"/>
      <c r="B652" s="500"/>
      <c r="C652" s="499"/>
      <c r="D652" s="499"/>
      <c r="E652" s="499"/>
      <c r="F652" s="499"/>
    </row>
    <row r="653" spans="1:6" ht="15">
      <c r="A653" s="501"/>
      <c r="B653" s="500"/>
      <c r="C653" s="499"/>
      <c r="D653" s="499"/>
      <c r="E653" s="499"/>
      <c r="F653" s="499"/>
    </row>
    <row r="654" spans="1:6" ht="15">
      <c r="A654" s="501"/>
      <c r="B654" s="500"/>
      <c r="C654" s="499"/>
      <c r="D654" s="499"/>
      <c r="E654" s="499"/>
      <c r="F654" s="499"/>
    </row>
    <row r="655" spans="1:6" ht="15">
      <c r="A655" s="501"/>
      <c r="B655" s="500"/>
      <c r="C655" s="499"/>
      <c r="D655" s="499"/>
      <c r="E655" s="499"/>
      <c r="F655" s="499"/>
    </row>
    <row r="656" spans="1:6" ht="15">
      <c r="A656" s="501"/>
      <c r="B656" s="500"/>
      <c r="C656" s="499"/>
      <c r="D656" s="499"/>
      <c r="E656" s="499"/>
      <c r="F656" s="499"/>
    </row>
    <row r="657" spans="1:6" ht="15">
      <c r="A657" s="501"/>
      <c r="B657" s="500"/>
      <c r="C657" s="499"/>
      <c r="D657" s="499"/>
      <c r="E657" s="499"/>
      <c r="F657" s="499"/>
    </row>
    <row r="658" spans="1:6" ht="15">
      <c r="A658" s="501"/>
      <c r="B658" s="500"/>
      <c r="C658" s="499"/>
      <c r="D658" s="499"/>
      <c r="E658" s="499"/>
      <c r="F658" s="499"/>
    </row>
    <row r="659" spans="1:6" ht="15">
      <c r="A659" s="501"/>
      <c r="B659" s="500"/>
      <c r="C659" s="499"/>
      <c r="D659" s="499"/>
      <c r="E659" s="499"/>
      <c r="F659" s="499"/>
    </row>
    <row r="660" spans="1:6" ht="15">
      <c r="A660" s="501"/>
      <c r="B660" s="500"/>
      <c r="C660" s="499"/>
      <c r="D660" s="499"/>
      <c r="E660" s="499"/>
      <c r="F660" s="499"/>
    </row>
    <row r="661" spans="1:6" ht="15">
      <c r="A661" s="501"/>
      <c r="B661" s="500"/>
      <c r="C661" s="499"/>
      <c r="D661" s="499"/>
      <c r="E661" s="499"/>
      <c r="F661" s="499"/>
    </row>
    <row r="662" spans="1:6" ht="15">
      <c r="A662" s="501"/>
      <c r="B662" s="500"/>
      <c r="C662" s="499"/>
      <c r="D662" s="499"/>
      <c r="E662" s="499"/>
      <c r="F662" s="499"/>
    </row>
    <row r="663" spans="1:6" ht="15">
      <c r="A663" s="501"/>
      <c r="B663" s="500"/>
      <c r="C663" s="499"/>
      <c r="D663" s="499"/>
      <c r="E663" s="499"/>
      <c r="F663" s="499"/>
    </row>
    <row r="664" spans="1:6" ht="15">
      <c r="A664" s="501"/>
      <c r="B664" s="500"/>
      <c r="C664" s="499"/>
      <c r="D664" s="499"/>
      <c r="E664" s="499"/>
      <c r="F664" s="499"/>
    </row>
    <row r="665" spans="1:6" ht="15">
      <c r="A665" s="501"/>
      <c r="B665" s="500"/>
      <c r="C665" s="499"/>
      <c r="D665" s="499"/>
      <c r="E665" s="499"/>
      <c r="F665" s="499"/>
    </row>
    <row r="666" spans="1:6" ht="15">
      <c r="A666" s="501"/>
      <c r="B666" s="500"/>
      <c r="C666" s="499"/>
      <c r="D666" s="499"/>
      <c r="E666" s="499"/>
      <c r="F666" s="499"/>
    </row>
    <row r="667" spans="1:6" ht="15">
      <c r="A667" s="501"/>
      <c r="B667" s="500"/>
      <c r="C667" s="499"/>
      <c r="D667" s="499"/>
      <c r="E667" s="499"/>
      <c r="F667" s="499"/>
    </row>
    <row r="668" spans="1:6" ht="15">
      <c r="A668" s="501"/>
      <c r="B668" s="500"/>
      <c r="C668" s="499"/>
      <c r="D668" s="499"/>
      <c r="E668" s="499"/>
      <c r="F668" s="499"/>
    </row>
    <row r="669" spans="1:6" ht="15">
      <c r="A669" s="501"/>
      <c r="B669" s="500"/>
      <c r="C669" s="499"/>
      <c r="D669" s="499"/>
      <c r="E669" s="499"/>
      <c r="F669" s="499"/>
    </row>
    <row r="670" spans="1:6" ht="15">
      <c r="A670" s="501"/>
      <c r="B670" s="500"/>
      <c r="C670" s="499"/>
      <c r="D670" s="499"/>
      <c r="E670" s="499"/>
      <c r="F670" s="499"/>
    </row>
    <row r="671" spans="1:6" ht="15">
      <c r="A671" s="501"/>
      <c r="B671" s="500"/>
      <c r="C671" s="499"/>
      <c r="D671" s="499"/>
      <c r="E671" s="499"/>
      <c r="F671" s="499"/>
    </row>
    <row r="672" spans="1:6" ht="15">
      <c r="A672" s="501"/>
      <c r="B672" s="500"/>
      <c r="C672" s="499"/>
      <c r="D672" s="499"/>
      <c r="E672" s="499"/>
      <c r="F672" s="499"/>
    </row>
    <row r="673" spans="1:6" ht="15">
      <c r="A673" s="501"/>
      <c r="B673" s="500"/>
      <c r="C673" s="499"/>
      <c r="D673" s="499"/>
      <c r="E673" s="499"/>
      <c r="F673" s="499"/>
    </row>
    <row r="674" spans="1:6" ht="15">
      <c r="A674" s="501"/>
      <c r="B674" s="500"/>
      <c r="C674" s="499"/>
      <c r="D674" s="499"/>
      <c r="E674" s="499"/>
      <c r="F674" s="499"/>
    </row>
    <row r="675" spans="1:6" ht="15">
      <c r="A675" s="501"/>
      <c r="B675" s="500"/>
      <c r="C675" s="499"/>
      <c r="D675" s="499"/>
      <c r="E675" s="499"/>
      <c r="F675" s="499"/>
    </row>
    <row r="676" spans="1:6" ht="15">
      <c r="A676" s="501"/>
      <c r="B676" s="500"/>
      <c r="C676" s="499"/>
      <c r="D676" s="499"/>
      <c r="E676" s="499"/>
      <c r="F676" s="499"/>
    </row>
    <row r="677" spans="1:6" ht="15">
      <c r="A677" s="501"/>
      <c r="B677" s="500"/>
      <c r="C677" s="499"/>
      <c r="D677" s="499"/>
      <c r="E677" s="499"/>
      <c r="F677" s="499"/>
    </row>
    <row r="678" spans="1:6" ht="15">
      <c r="A678" s="501"/>
      <c r="B678" s="500"/>
      <c r="C678" s="499"/>
      <c r="D678" s="499"/>
      <c r="E678" s="499"/>
      <c r="F678" s="499"/>
    </row>
    <row r="679" spans="1:6" ht="15">
      <c r="A679" s="501"/>
      <c r="B679" s="500"/>
      <c r="C679" s="499"/>
      <c r="D679" s="499"/>
      <c r="E679" s="499"/>
      <c r="F679" s="499"/>
    </row>
    <row r="680" spans="1:6" ht="15">
      <c r="A680" s="501"/>
      <c r="B680" s="500"/>
      <c r="C680" s="499"/>
      <c r="D680" s="499"/>
      <c r="E680" s="499"/>
      <c r="F680" s="499"/>
    </row>
    <row r="681" spans="1:6" ht="15">
      <c r="A681" s="501"/>
      <c r="B681" s="500"/>
      <c r="C681" s="499"/>
      <c r="D681" s="499"/>
      <c r="E681" s="499"/>
      <c r="F681" s="499"/>
    </row>
    <row r="682" spans="1:6" ht="15">
      <c r="A682" s="501"/>
      <c r="B682" s="500"/>
      <c r="C682" s="499"/>
      <c r="D682" s="499"/>
      <c r="E682" s="499"/>
      <c r="F682" s="499"/>
    </row>
    <row r="683" spans="1:6" ht="15">
      <c r="A683" s="501"/>
      <c r="B683" s="500"/>
      <c r="C683" s="499"/>
      <c r="D683" s="499"/>
      <c r="E683" s="499"/>
      <c r="F683" s="499"/>
    </row>
    <row r="684" spans="1:6" ht="15">
      <c r="A684" s="501"/>
      <c r="B684" s="500"/>
      <c r="C684" s="499"/>
      <c r="D684" s="499"/>
      <c r="E684" s="499"/>
      <c r="F684" s="499"/>
    </row>
    <row r="685" spans="1:6" ht="15">
      <c r="A685" s="501"/>
      <c r="B685" s="500"/>
      <c r="C685" s="499"/>
      <c r="D685" s="499"/>
      <c r="E685" s="499"/>
      <c r="F685" s="499"/>
    </row>
    <row r="686" spans="1:6" ht="15">
      <c r="A686" s="501"/>
      <c r="B686" s="500"/>
      <c r="C686" s="499"/>
      <c r="D686" s="499"/>
      <c r="E686" s="499"/>
      <c r="F686" s="499"/>
    </row>
    <row r="687" spans="1:6" ht="15">
      <c r="A687" s="501"/>
      <c r="B687" s="500"/>
      <c r="C687" s="499"/>
      <c r="D687" s="499"/>
      <c r="E687" s="499"/>
      <c r="F687" s="499"/>
    </row>
    <row r="688" spans="1:6" ht="15">
      <c r="A688" s="501"/>
      <c r="B688" s="500"/>
      <c r="C688" s="499"/>
      <c r="D688" s="499"/>
      <c r="E688" s="499"/>
      <c r="F688" s="499"/>
    </row>
    <row r="689" spans="1:6" ht="15">
      <c r="A689" s="501"/>
      <c r="B689" s="500"/>
      <c r="C689" s="499"/>
      <c r="D689" s="499"/>
      <c r="E689" s="499"/>
      <c r="F689" s="499"/>
    </row>
    <row r="690" spans="1:6" ht="15">
      <c r="A690" s="501"/>
      <c r="B690" s="500"/>
      <c r="C690" s="499"/>
      <c r="D690" s="499"/>
      <c r="E690" s="499"/>
      <c r="F690" s="499"/>
    </row>
    <row r="691" spans="1:6" ht="15">
      <c r="A691" s="501"/>
      <c r="B691" s="500"/>
      <c r="C691" s="499"/>
      <c r="D691" s="499"/>
      <c r="E691" s="499"/>
      <c r="F691" s="499"/>
    </row>
    <row r="692" spans="1:6" ht="15">
      <c r="A692" s="501"/>
      <c r="B692" s="500"/>
      <c r="C692" s="499"/>
      <c r="D692" s="499"/>
      <c r="E692" s="499"/>
      <c r="F692" s="499"/>
    </row>
    <row r="693" spans="1:6" ht="15">
      <c r="A693" s="501"/>
      <c r="B693" s="500"/>
      <c r="C693" s="499"/>
      <c r="D693" s="499"/>
      <c r="E693" s="499"/>
      <c r="F693" s="499"/>
    </row>
    <row r="694" spans="1:6" ht="15">
      <c r="A694" s="501"/>
      <c r="B694" s="500"/>
      <c r="C694" s="499"/>
      <c r="D694" s="499"/>
      <c r="E694" s="499"/>
      <c r="F694" s="499"/>
    </row>
    <row r="695" spans="1:6" ht="15">
      <c r="A695" s="501"/>
      <c r="B695" s="500"/>
      <c r="C695" s="499"/>
      <c r="D695" s="499"/>
      <c r="E695" s="499"/>
      <c r="F695" s="499"/>
    </row>
    <row r="696" spans="1:6" ht="15">
      <c r="A696" s="501"/>
      <c r="B696" s="500"/>
      <c r="C696" s="499"/>
      <c r="D696" s="499"/>
      <c r="E696" s="499"/>
      <c r="F696" s="499"/>
    </row>
    <row r="697" spans="1:6" ht="15">
      <c r="A697" s="501"/>
      <c r="B697" s="500"/>
      <c r="C697" s="499"/>
      <c r="D697" s="499"/>
      <c r="E697" s="499"/>
      <c r="F697" s="499"/>
    </row>
    <row r="698" spans="1:6" ht="15">
      <c r="A698" s="501"/>
      <c r="B698" s="500"/>
      <c r="C698" s="499"/>
      <c r="D698" s="499"/>
      <c r="E698" s="499"/>
      <c r="F698" s="499"/>
    </row>
    <row r="699" spans="1:6" ht="15">
      <c r="A699" s="501"/>
      <c r="B699" s="500"/>
      <c r="C699" s="499"/>
      <c r="D699" s="499"/>
      <c r="E699" s="499"/>
      <c r="F699" s="499"/>
    </row>
    <row r="700" spans="1:6" ht="15">
      <c r="A700" s="501"/>
      <c r="B700" s="500"/>
      <c r="C700" s="499"/>
      <c r="D700" s="499"/>
      <c r="E700" s="499"/>
      <c r="F700" s="499"/>
    </row>
    <row r="701" spans="1:6" ht="15">
      <c r="A701" s="501"/>
      <c r="B701" s="500"/>
      <c r="C701" s="499"/>
      <c r="D701" s="499"/>
      <c r="E701" s="499"/>
      <c r="F701" s="499"/>
    </row>
    <row r="702" spans="1:6" ht="15">
      <c r="A702" s="501"/>
      <c r="B702" s="500"/>
      <c r="C702" s="499"/>
      <c r="D702" s="499"/>
      <c r="E702" s="499"/>
      <c r="F702" s="499"/>
    </row>
    <row r="703" spans="1:6" ht="15">
      <c r="A703" s="501"/>
      <c r="B703" s="500"/>
      <c r="C703" s="499"/>
      <c r="D703" s="499"/>
      <c r="E703" s="499"/>
      <c r="F703" s="499"/>
    </row>
    <row r="704" spans="1:6" ht="15">
      <c r="A704" s="501"/>
      <c r="B704" s="500"/>
      <c r="C704" s="499"/>
      <c r="D704" s="499"/>
      <c r="E704" s="499"/>
      <c r="F704" s="499"/>
    </row>
    <row r="705" spans="1:6" ht="15">
      <c r="A705" s="501"/>
      <c r="B705" s="500"/>
      <c r="C705" s="499"/>
      <c r="D705" s="499"/>
      <c r="E705" s="499"/>
      <c r="F705" s="499"/>
    </row>
    <row r="706" spans="1:6" ht="15">
      <c r="A706" s="501"/>
      <c r="B706" s="500"/>
      <c r="C706" s="499"/>
      <c r="D706" s="499"/>
      <c r="E706" s="499"/>
      <c r="F706" s="499"/>
    </row>
    <row r="707" spans="1:6" ht="15">
      <c r="A707" s="501"/>
      <c r="B707" s="500"/>
      <c r="C707" s="499"/>
      <c r="D707" s="499"/>
      <c r="E707" s="499"/>
      <c r="F707" s="499"/>
    </row>
    <row r="708" spans="1:6" ht="15">
      <c r="A708" s="501"/>
      <c r="B708" s="500"/>
      <c r="C708" s="499"/>
      <c r="D708" s="499"/>
      <c r="E708" s="499"/>
      <c r="F708" s="499"/>
    </row>
    <row r="709" spans="1:6" ht="15">
      <c r="A709" s="501"/>
      <c r="B709" s="500"/>
      <c r="C709" s="499"/>
      <c r="D709" s="499"/>
      <c r="E709" s="499"/>
      <c r="F709" s="499"/>
    </row>
    <row r="710" spans="1:6" ht="15">
      <c r="A710" s="501"/>
      <c r="B710" s="500"/>
      <c r="C710" s="499"/>
      <c r="D710" s="499"/>
      <c r="E710" s="499"/>
      <c r="F710" s="499"/>
    </row>
    <row r="711" spans="1:6" ht="15">
      <c r="A711" s="501"/>
      <c r="B711" s="500"/>
      <c r="C711" s="499"/>
      <c r="D711" s="499"/>
      <c r="E711" s="499"/>
      <c r="F711" s="499"/>
    </row>
    <row r="712" spans="1:6" ht="15">
      <c r="A712" s="501"/>
      <c r="B712" s="500"/>
      <c r="C712" s="499"/>
      <c r="D712" s="499"/>
      <c r="E712" s="499"/>
      <c r="F712" s="499"/>
    </row>
    <row r="713" spans="1:6" ht="15">
      <c r="A713" s="501"/>
      <c r="B713" s="500"/>
      <c r="C713" s="499"/>
      <c r="D713" s="499"/>
      <c r="E713" s="499"/>
      <c r="F713" s="499"/>
    </row>
    <row r="714" spans="1:6" ht="15">
      <c r="A714" s="501"/>
      <c r="B714" s="500"/>
      <c r="C714" s="499"/>
      <c r="D714" s="499"/>
      <c r="E714" s="499"/>
      <c r="F714" s="499"/>
    </row>
    <row r="715" spans="1:6" ht="15">
      <c r="A715" s="501"/>
      <c r="B715" s="500"/>
      <c r="C715" s="499"/>
      <c r="D715" s="499"/>
      <c r="E715" s="499"/>
      <c r="F715" s="499"/>
    </row>
    <row r="716" spans="1:6" ht="15">
      <c r="A716" s="501"/>
      <c r="B716" s="500"/>
      <c r="C716" s="499"/>
      <c r="D716" s="499"/>
      <c r="E716" s="499"/>
      <c r="F716" s="499"/>
    </row>
    <row r="717" spans="1:6" ht="15">
      <c r="A717" s="501"/>
      <c r="B717" s="500"/>
      <c r="C717" s="499"/>
      <c r="D717" s="499"/>
      <c r="E717" s="499"/>
      <c r="F717" s="499"/>
    </row>
    <row r="718" spans="1:6" ht="15">
      <c r="A718" s="501"/>
      <c r="B718" s="500"/>
      <c r="C718" s="499"/>
      <c r="D718" s="499"/>
      <c r="E718" s="499"/>
      <c r="F718" s="499"/>
    </row>
    <row r="719" spans="1:6" ht="15">
      <c r="A719" s="501"/>
      <c r="B719" s="500"/>
      <c r="C719" s="499"/>
      <c r="D719" s="499"/>
      <c r="E719" s="499"/>
      <c r="F719" s="499"/>
    </row>
    <row r="720" spans="1:6" ht="15">
      <c r="A720" s="501"/>
      <c r="B720" s="500"/>
      <c r="C720" s="499"/>
      <c r="D720" s="499"/>
      <c r="E720" s="499"/>
      <c r="F720" s="499"/>
    </row>
    <row r="721" spans="1:6" ht="15">
      <c r="A721" s="501"/>
      <c r="B721" s="500"/>
      <c r="C721" s="499"/>
      <c r="D721" s="499"/>
      <c r="E721" s="499"/>
      <c r="F721" s="499"/>
    </row>
    <row r="722" spans="1:6" ht="15">
      <c r="A722" s="501"/>
      <c r="B722" s="500"/>
      <c r="C722" s="499"/>
      <c r="D722" s="499"/>
      <c r="E722" s="499"/>
      <c r="F722" s="499"/>
    </row>
    <row r="723" spans="1:6" ht="15">
      <c r="A723" s="501"/>
      <c r="B723" s="500"/>
      <c r="C723" s="499"/>
      <c r="D723" s="499"/>
      <c r="E723" s="499"/>
      <c r="F723" s="499"/>
    </row>
    <row r="724" spans="1:6" ht="15">
      <c r="A724" s="501"/>
      <c r="B724" s="500"/>
      <c r="C724" s="499"/>
      <c r="D724" s="499"/>
      <c r="E724" s="499"/>
      <c r="F724" s="499"/>
    </row>
    <row r="725" spans="1:6" ht="15">
      <c r="A725" s="501"/>
      <c r="B725" s="500"/>
      <c r="C725" s="499"/>
      <c r="D725" s="499"/>
      <c r="E725" s="499"/>
      <c r="F725" s="499"/>
    </row>
    <row r="726" spans="1:6" ht="15">
      <c r="A726" s="501"/>
      <c r="B726" s="500"/>
      <c r="C726" s="499"/>
      <c r="D726" s="499"/>
      <c r="E726" s="499"/>
      <c r="F726" s="499"/>
    </row>
    <row r="727" spans="1:6" ht="15">
      <c r="A727" s="501"/>
      <c r="B727" s="500"/>
      <c r="C727" s="499"/>
      <c r="D727" s="499"/>
      <c r="E727" s="499"/>
      <c r="F727" s="499"/>
    </row>
    <row r="728" spans="1:6" ht="15">
      <c r="A728" s="501"/>
      <c r="B728" s="500"/>
      <c r="C728" s="499"/>
      <c r="D728" s="499"/>
      <c r="E728" s="499"/>
      <c r="F728" s="499"/>
    </row>
    <row r="729" spans="1:6" ht="15">
      <c r="A729" s="501"/>
      <c r="B729" s="500"/>
      <c r="C729" s="499"/>
      <c r="D729" s="499"/>
      <c r="E729" s="499"/>
      <c r="F729" s="499"/>
    </row>
    <row r="730" spans="1:6" ht="15">
      <c r="A730" s="501"/>
      <c r="B730" s="500"/>
      <c r="C730" s="499"/>
      <c r="D730" s="499"/>
      <c r="E730" s="499"/>
      <c r="F730" s="499"/>
    </row>
    <row r="731" spans="1:6" ht="15">
      <c r="A731" s="501"/>
      <c r="B731" s="500"/>
      <c r="C731" s="499"/>
      <c r="D731" s="499"/>
      <c r="E731" s="499"/>
      <c r="F731" s="499"/>
    </row>
    <row r="732" spans="1:6" ht="15">
      <c r="A732" s="501"/>
      <c r="B732" s="500"/>
      <c r="C732" s="499"/>
      <c r="D732" s="499"/>
      <c r="E732" s="499"/>
      <c r="F732" s="499"/>
    </row>
    <row r="733" spans="1:6" ht="15">
      <c r="A733" s="501"/>
      <c r="B733" s="500"/>
      <c r="C733" s="499"/>
      <c r="D733" s="499"/>
      <c r="E733" s="499"/>
      <c r="F733" s="499"/>
    </row>
    <row r="734" spans="1:6" ht="15">
      <c r="A734" s="501"/>
      <c r="B734" s="500"/>
      <c r="C734" s="499"/>
      <c r="D734" s="499"/>
      <c r="E734" s="499"/>
      <c r="F734" s="499"/>
    </row>
    <row r="735" spans="1:6" ht="15">
      <c r="A735" s="501"/>
      <c r="B735" s="500"/>
      <c r="C735" s="499"/>
      <c r="D735" s="499"/>
      <c r="E735" s="499"/>
      <c r="F735" s="499"/>
    </row>
    <row r="736" spans="1:6" ht="15">
      <c r="A736" s="501"/>
      <c r="B736" s="500"/>
      <c r="C736" s="499"/>
      <c r="D736" s="499"/>
      <c r="E736" s="499"/>
      <c r="F736" s="499"/>
    </row>
    <row r="737" spans="1:6" ht="15">
      <c r="A737" s="501"/>
      <c r="B737" s="500"/>
      <c r="C737" s="499"/>
      <c r="D737" s="499"/>
      <c r="E737" s="499"/>
      <c r="F737" s="499"/>
    </row>
    <row r="738" spans="1:6" ht="15">
      <c r="A738" s="501"/>
      <c r="B738" s="500"/>
      <c r="C738" s="499"/>
      <c r="D738" s="499"/>
      <c r="E738" s="499"/>
      <c r="F738" s="499"/>
    </row>
    <row r="739" spans="1:6" ht="15">
      <c r="A739" s="501"/>
      <c r="B739" s="500"/>
      <c r="C739" s="499"/>
      <c r="D739" s="499"/>
      <c r="E739" s="499"/>
      <c r="F739" s="499"/>
    </row>
    <row r="740" spans="1:6" ht="15">
      <c r="A740" s="501"/>
      <c r="B740" s="500"/>
      <c r="C740" s="499"/>
      <c r="D740" s="499"/>
      <c r="E740" s="499"/>
      <c r="F740" s="499"/>
    </row>
    <row r="741" spans="1:6" ht="15">
      <c r="A741" s="501"/>
      <c r="B741" s="500"/>
      <c r="C741" s="499"/>
      <c r="D741" s="499"/>
      <c r="E741" s="499"/>
      <c r="F741" s="499"/>
    </row>
    <row r="742" spans="1:6" ht="15">
      <c r="A742" s="501"/>
      <c r="B742" s="500"/>
      <c r="C742" s="499"/>
      <c r="D742" s="499"/>
      <c r="E742" s="499"/>
      <c r="F742" s="499"/>
    </row>
    <row r="743" spans="1:6" ht="15">
      <c r="A743" s="501"/>
      <c r="B743" s="500"/>
      <c r="C743" s="499"/>
      <c r="D743" s="499"/>
      <c r="E743" s="499"/>
      <c r="F743" s="499"/>
    </row>
    <row r="744" spans="1:6" ht="15">
      <c r="A744" s="501"/>
      <c r="B744" s="500"/>
      <c r="C744" s="499"/>
      <c r="D744" s="499"/>
      <c r="E744" s="499"/>
      <c r="F744" s="499"/>
    </row>
    <row r="745" spans="1:6" ht="15">
      <c r="A745" s="501"/>
      <c r="B745" s="500"/>
      <c r="C745" s="499"/>
      <c r="D745" s="499"/>
      <c r="E745" s="499"/>
      <c r="F745" s="499"/>
    </row>
    <row r="746" spans="1:6" ht="15">
      <c r="A746" s="501"/>
      <c r="B746" s="500"/>
      <c r="C746" s="499"/>
      <c r="D746" s="499"/>
      <c r="E746" s="499"/>
      <c r="F746" s="499"/>
    </row>
    <row r="747" spans="1:6" ht="15">
      <c r="A747" s="501"/>
      <c r="B747" s="500"/>
      <c r="C747" s="499"/>
      <c r="D747" s="499"/>
      <c r="E747" s="499"/>
      <c r="F747" s="499"/>
    </row>
    <row r="748" spans="1:6" ht="15">
      <c r="A748" s="501"/>
      <c r="B748" s="500"/>
      <c r="C748" s="499"/>
      <c r="D748" s="499"/>
      <c r="E748" s="499"/>
      <c r="F748" s="499"/>
    </row>
    <row r="749" spans="1:6" ht="15">
      <c r="A749" s="501"/>
      <c r="B749" s="500"/>
      <c r="C749" s="499"/>
      <c r="D749" s="499"/>
      <c r="E749" s="499"/>
      <c r="F749" s="499"/>
    </row>
    <row r="750" spans="1:6" ht="15">
      <c r="A750" s="501"/>
      <c r="B750" s="500"/>
      <c r="C750" s="499"/>
      <c r="D750" s="499"/>
      <c r="E750" s="499"/>
      <c r="F750" s="499"/>
    </row>
    <row r="751" spans="1:6" ht="15">
      <c r="A751" s="501"/>
      <c r="B751" s="500"/>
      <c r="C751" s="499"/>
      <c r="D751" s="499"/>
      <c r="E751" s="499"/>
      <c r="F751" s="499"/>
    </row>
    <row r="752" spans="1:6" ht="15">
      <c r="A752" s="501"/>
      <c r="B752" s="500"/>
      <c r="C752" s="499"/>
      <c r="D752" s="499"/>
      <c r="E752" s="499"/>
      <c r="F752" s="499"/>
    </row>
    <row r="753" spans="1:6" ht="15">
      <c r="A753" s="501"/>
      <c r="B753" s="500"/>
      <c r="C753" s="499"/>
      <c r="D753" s="499"/>
      <c r="E753" s="499"/>
      <c r="F753" s="499"/>
    </row>
    <row r="754" spans="1:6" ht="15">
      <c r="A754" s="501"/>
      <c r="B754" s="500"/>
      <c r="C754" s="499"/>
      <c r="D754" s="499"/>
      <c r="E754" s="499"/>
      <c r="F754" s="499"/>
    </row>
    <row r="755" spans="1:6" ht="15">
      <c r="A755" s="501"/>
      <c r="B755" s="500"/>
      <c r="C755" s="499"/>
      <c r="D755" s="499"/>
      <c r="E755" s="499"/>
      <c r="F755" s="499"/>
    </row>
    <row r="756" spans="1:6" ht="15">
      <c r="A756" s="501"/>
      <c r="B756" s="500"/>
      <c r="C756" s="499"/>
      <c r="D756" s="499"/>
      <c r="E756" s="499"/>
      <c r="F756" s="499"/>
    </row>
    <row r="757" spans="1:6" ht="15">
      <c r="A757" s="501"/>
      <c r="B757" s="500"/>
      <c r="C757" s="499"/>
      <c r="D757" s="499"/>
      <c r="E757" s="499"/>
      <c r="F757" s="499"/>
    </row>
    <row r="758" spans="1:6" ht="15">
      <c r="A758" s="501"/>
      <c r="B758" s="500"/>
      <c r="C758" s="499"/>
      <c r="D758" s="499"/>
      <c r="E758" s="499"/>
      <c r="F758" s="499"/>
    </row>
    <row r="759" spans="1:6" ht="15">
      <c r="A759" s="501"/>
      <c r="B759" s="500"/>
      <c r="C759" s="499"/>
      <c r="D759" s="499"/>
      <c r="E759" s="499"/>
      <c r="F759" s="499"/>
    </row>
    <row r="760" spans="1:6" ht="15">
      <c r="A760" s="501"/>
      <c r="B760" s="500"/>
      <c r="C760" s="499"/>
      <c r="D760" s="499"/>
      <c r="E760" s="499"/>
      <c r="F760" s="499"/>
    </row>
    <row r="761" spans="1:6" ht="15">
      <c r="A761" s="501"/>
      <c r="B761" s="500"/>
      <c r="C761" s="499"/>
      <c r="D761" s="499"/>
      <c r="E761" s="499"/>
      <c r="F761" s="499"/>
    </row>
    <row r="762" spans="1:6" ht="15">
      <c r="A762" s="501"/>
      <c r="B762" s="500"/>
      <c r="C762" s="499"/>
      <c r="D762" s="499"/>
      <c r="E762" s="499"/>
      <c r="F762" s="499"/>
    </row>
    <row r="763" spans="1:6" ht="15">
      <c r="A763" s="501"/>
      <c r="B763" s="500"/>
      <c r="C763" s="499"/>
      <c r="D763" s="499"/>
      <c r="E763" s="499"/>
      <c r="F763" s="499"/>
    </row>
    <row r="764" spans="1:6" ht="15">
      <c r="A764" s="501"/>
      <c r="B764" s="500"/>
      <c r="C764" s="499"/>
      <c r="D764" s="499"/>
      <c r="E764" s="499"/>
      <c r="F764" s="499"/>
    </row>
    <row r="765" spans="1:6" ht="15">
      <c r="A765" s="501"/>
      <c r="B765" s="500"/>
      <c r="C765" s="499"/>
      <c r="D765" s="499"/>
      <c r="E765" s="499"/>
      <c r="F765" s="499"/>
    </row>
    <row r="766" spans="1:6" ht="15">
      <c r="A766" s="501"/>
      <c r="B766" s="500"/>
      <c r="C766" s="499"/>
      <c r="D766" s="499"/>
      <c r="E766" s="499"/>
      <c r="F766" s="499"/>
    </row>
    <row r="767" spans="1:6" ht="15">
      <c r="A767" s="501"/>
      <c r="B767" s="500"/>
      <c r="C767" s="499"/>
      <c r="D767" s="499"/>
      <c r="E767" s="499"/>
      <c r="F767" s="499"/>
    </row>
    <row r="768" spans="1:6" ht="15">
      <c r="A768" s="501"/>
      <c r="B768" s="500"/>
      <c r="C768" s="499"/>
      <c r="D768" s="499"/>
      <c r="E768" s="499"/>
      <c r="F768" s="499"/>
    </row>
    <row r="769" spans="1:6" ht="15">
      <c r="A769" s="501"/>
      <c r="B769" s="500"/>
      <c r="C769" s="499"/>
      <c r="D769" s="499"/>
      <c r="E769" s="499"/>
      <c r="F769" s="499"/>
    </row>
    <row r="770" spans="1:6" ht="15">
      <c r="A770" s="501"/>
      <c r="B770" s="500"/>
      <c r="C770" s="499"/>
      <c r="D770" s="499"/>
      <c r="E770" s="499"/>
      <c r="F770" s="499"/>
    </row>
    <row r="771" spans="1:6" ht="15">
      <c r="A771" s="501"/>
      <c r="B771" s="500"/>
      <c r="C771" s="499"/>
      <c r="D771" s="499"/>
      <c r="E771" s="499"/>
      <c r="F771" s="499"/>
    </row>
    <row r="772" spans="1:6" ht="15">
      <c r="A772" s="501"/>
      <c r="B772" s="500"/>
      <c r="C772" s="499"/>
      <c r="D772" s="499"/>
      <c r="E772" s="499"/>
      <c r="F772" s="499"/>
    </row>
    <row r="773" spans="1:6" ht="15">
      <c r="A773" s="501"/>
      <c r="B773" s="500"/>
      <c r="C773" s="499"/>
      <c r="D773" s="499"/>
      <c r="E773" s="499"/>
      <c r="F773" s="499"/>
    </row>
    <row r="774" spans="1:6" ht="15">
      <c r="A774" s="501"/>
      <c r="B774" s="500"/>
      <c r="C774" s="499"/>
      <c r="D774" s="499"/>
      <c r="E774" s="499"/>
      <c r="F774" s="499"/>
    </row>
    <row r="775" spans="1:6" ht="15">
      <c r="A775" s="501"/>
      <c r="B775" s="500"/>
      <c r="C775" s="499"/>
      <c r="D775" s="499"/>
      <c r="E775" s="499"/>
      <c r="F775" s="499"/>
    </row>
    <row r="776" spans="1:6" ht="15">
      <c r="A776" s="501"/>
      <c r="B776" s="500"/>
      <c r="C776" s="499"/>
      <c r="D776" s="499"/>
      <c r="E776" s="499"/>
      <c r="F776" s="499"/>
    </row>
    <row r="777" spans="1:6" ht="15">
      <c r="A777" s="501"/>
      <c r="B777" s="500"/>
      <c r="C777" s="499"/>
      <c r="D777" s="499"/>
      <c r="E777" s="499"/>
      <c r="F777" s="499"/>
    </row>
    <row r="778" spans="1:6" ht="15">
      <c r="A778" s="501"/>
      <c r="B778" s="500"/>
      <c r="C778" s="499"/>
      <c r="D778" s="499"/>
      <c r="E778" s="499"/>
      <c r="F778" s="499"/>
    </row>
    <row r="779" spans="1:6" ht="15">
      <c r="A779" s="501"/>
      <c r="B779" s="500"/>
      <c r="C779" s="499"/>
      <c r="D779" s="499"/>
      <c r="E779" s="499"/>
      <c r="F779" s="499"/>
    </row>
    <row r="780" spans="1:6" ht="15">
      <c r="A780" s="501"/>
      <c r="B780" s="500"/>
      <c r="C780" s="499"/>
      <c r="D780" s="499"/>
      <c r="E780" s="499"/>
      <c r="F780" s="499"/>
    </row>
    <row r="781" spans="1:6" ht="15">
      <c r="A781" s="501"/>
      <c r="B781" s="500"/>
      <c r="C781" s="499"/>
      <c r="D781" s="499"/>
      <c r="E781" s="499"/>
      <c r="F781" s="499"/>
    </row>
    <row r="782" spans="1:6" ht="15">
      <c r="A782" s="501"/>
      <c r="B782" s="500"/>
      <c r="C782" s="499"/>
      <c r="D782" s="499"/>
      <c r="E782" s="499"/>
      <c r="F782" s="499"/>
    </row>
    <row r="783" spans="1:6" ht="15">
      <c r="A783" s="501"/>
      <c r="B783" s="500"/>
      <c r="C783" s="499"/>
      <c r="D783" s="499"/>
      <c r="E783" s="499"/>
      <c r="F783" s="499"/>
    </row>
    <row r="784" spans="1:6" ht="15">
      <c r="A784" s="501"/>
      <c r="B784" s="500"/>
      <c r="C784" s="499"/>
      <c r="D784" s="499"/>
      <c r="E784" s="499"/>
      <c r="F784" s="499"/>
    </row>
    <row r="785" spans="1:6" ht="15">
      <c r="A785" s="501"/>
      <c r="B785" s="500"/>
      <c r="C785" s="499"/>
      <c r="D785" s="499"/>
      <c r="E785" s="499"/>
      <c r="F785" s="499"/>
    </row>
    <row r="786" spans="1:6" ht="15">
      <c r="A786" s="501"/>
      <c r="B786" s="500"/>
      <c r="C786" s="499"/>
      <c r="D786" s="499"/>
      <c r="E786" s="499"/>
      <c r="F786" s="499"/>
    </row>
    <row r="787" spans="1:6" ht="15">
      <c r="A787" s="501"/>
      <c r="B787" s="500"/>
      <c r="C787" s="499"/>
      <c r="D787" s="499"/>
      <c r="E787" s="499"/>
      <c r="F787" s="499"/>
    </row>
    <row r="788" spans="1:6" ht="15">
      <c r="A788" s="501"/>
      <c r="B788" s="500"/>
      <c r="C788" s="499"/>
      <c r="D788" s="499"/>
      <c r="E788" s="499"/>
      <c r="F788" s="499"/>
    </row>
    <row r="789" spans="1:6" ht="15">
      <c r="A789" s="501"/>
      <c r="B789" s="500"/>
      <c r="C789" s="499"/>
      <c r="D789" s="499"/>
      <c r="E789" s="499"/>
      <c r="F789" s="499"/>
    </row>
    <row r="790" spans="1:6" ht="15">
      <c r="A790" s="501"/>
      <c r="B790" s="500"/>
      <c r="C790" s="499"/>
      <c r="D790" s="499"/>
      <c r="E790" s="499"/>
      <c r="F790" s="499"/>
    </row>
    <row r="791" spans="1:6" ht="15">
      <c r="A791" s="501"/>
      <c r="B791" s="500"/>
      <c r="C791" s="499"/>
      <c r="D791" s="499"/>
      <c r="E791" s="499"/>
      <c r="F791" s="499"/>
    </row>
    <row r="792" spans="1:6" ht="15">
      <c r="A792" s="501"/>
      <c r="B792" s="500"/>
      <c r="C792" s="499"/>
      <c r="D792" s="499"/>
      <c r="E792" s="499"/>
      <c r="F792" s="499"/>
    </row>
    <row r="793" spans="1:6" ht="15">
      <c r="A793" s="501"/>
      <c r="B793" s="500"/>
      <c r="C793" s="499"/>
      <c r="D793" s="499"/>
      <c r="E793" s="499"/>
      <c r="F793" s="499"/>
    </row>
    <row r="794" spans="1:6" ht="15">
      <c r="A794" s="501"/>
      <c r="B794" s="500"/>
      <c r="C794" s="499"/>
      <c r="D794" s="499"/>
      <c r="E794" s="499"/>
      <c r="F794" s="499"/>
    </row>
    <row r="795" spans="1:6" ht="15">
      <c r="A795" s="501"/>
      <c r="B795" s="500"/>
      <c r="C795" s="499"/>
      <c r="D795" s="499"/>
      <c r="E795" s="499"/>
      <c r="F795" s="499"/>
    </row>
    <row r="796" spans="1:6" ht="15">
      <c r="A796" s="501"/>
      <c r="B796" s="500"/>
      <c r="C796" s="499"/>
      <c r="D796" s="499"/>
      <c r="E796" s="499"/>
      <c r="F796" s="499"/>
    </row>
    <row r="797" spans="1:6" ht="15">
      <c r="A797" s="501"/>
      <c r="B797" s="500"/>
      <c r="C797" s="499"/>
      <c r="D797" s="499"/>
      <c r="E797" s="499"/>
      <c r="F797" s="499"/>
    </row>
    <row r="798" spans="1:6" ht="15">
      <c r="A798" s="501"/>
      <c r="B798" s="500"/>
      <c r="C798" s="499"/>
      <c r="D798" s="499"/>
      <c r="E798" s="499"/>
      <c r="F798" s="499"/>
    </row>
    <row r="799" spans="1:6" ht="15">
      <c r="A799" s="501"/>
      <c r="B799" s="500"/>
      <c r="C799" s="499"/>
      <c r="D799" s="499"/>
      <c r="E799" s="499"/>
      <c r="F799" s="499"/>
    </row>
    <row r="800" spans="1:6" ht="15">
      <c r="A800" s="501"/>
      <c r="B800" s="500"/>
      <c r="C800" s="499"/>
      <c r="D800" s="499"/>
      <c r="E800" s="499"/>
      <c r="F800" s="499"/>
    </row>
    <row r="801" spans="1:6" ht="15">
      <c r="A801" s="501"/>
      <c r="B801" s="500"/>
      <c r="C801" s="499"/>
      <c r="D801" s="499"/>
      <c r="E801" s="499"/>
      <c r="F801" s="499"/>
    </row>
    <row r="802" spans="1:6" ht="15">
      <c r="A802" s="501"/>
      <c r="B802" s="500"/>
      <c r="C802" s="499"/>
      <c r="D802" s="499"/>
      <c r="E802" s="499"/>
      <c r="F802" s="499"/>
    </row>
    <row r="803" spans="1:6" ht="15">
      <c r="A803" s="501"/>
      <c r="B803" s="500"/>
      <c r="C803" s="499"/>
      <c r="D803" s="499"/>
      <c r="E803" s="499"/>
      <c r="F803" s="499"/>
    </row>
    <row r="804" spans="1:6" ht="15">
      <c r="A804" s="501"/>
      <c r="B804" s="500"/>
      <c r="C804" s="499"/>
      <c r="D804" s="499"/>
      <c r="E804" s="499"/>
      <c r="F804" s="499"/>
    </row>
    <row r="805" spans="1:6" ht="15">
      <c r="A805" s="501"/>
      <c r="B805" s="500"/>
      <c r="C805" s="499"/>
      <c r="D805" s="499"/>
      <c r="E805" s="499"/>
      <c r="F805" s="499"/>
    </row>
    <row r="806" spans="1:6" ht="15">
      <c r="A806" s="501"/>
      <c r="B806" s="500"/>
      <c r="C806" s="499"/>
      <c r="D806" s="499"/>
      <c r="E806" s="499"/>
      <c r="F806" s="499"/>
    </row>
    <row r="807" spans="1:6" ht="15">
      <c r="A807" s="501"/>
      <c r="B807" s="500"/>
      <c r="C807" s="499"/>
      <c r="D807" s="499"/>
      <c r="E807" s="499"/>
      <c r="F807" s="499"/>
    </row>
    <row r="808" spans="1:6" ht="15">
      <c r="A808" s="501"/>
      <c r="B808" s="500"/>
      <c r="C808" s="499"/>
      <c r="D808" s="499"/>
      <c r="E808" s="499"/>
      <c r="F808" s="499"/>
    </row>
    <row r="809" spans="1:6" ht="15">
      <c r="A809" s="501"/>
      <c r="B809" s="500"/>
      <c r="C809" s="499"/>
      <c r="D809" s="499"/>
      <c r="E809" s="499"/>
      <c r="F809" s="499"/>
    </row>
    <row r="810" spans="1:6" ht="15">
      <c r="A810" s="501"/>
      <c r="B810" s="500"/>
      <c r="C810" s="499"/>
      <c r="D810" s="499"/>
      <c r="E810" s="499"/>
      <c r="F810" s="499"/>
    </row>
    <row r="811" spans="1:6" ht="15">
      <c r="A811" s="501"/>
      <c r="B811" s="500"/>
      <c r="C811" s="499"/>
      <c r="D811" s="499"/>
      <c r="E811" s="499"/>
      <c r="F811" s="499"/>
    </row>
    <row r="812" spans="1:6" ht="15">
      <c r="A812" s="501"/>
      <c r="B812" s="500"/>
      <c r="C812" s="499"/>
      <c r="D812" s="499"/>
      <c r="E812" s="499"/>
      <c r="F812" s="499"/>
    </row>
    <row r="813" spans="1:6" ht="15">
      <c r="A813" s="501"/>
      <c r="B813" s="500"/>
      <c r="C813" s="499"/>
      <c r="D813" s="499"/>
      <c r="E813" s="499"/>
      <c r="F813" s="499"/>
    </row>
    <row r="814" spans="1:6" ht="15">
      <c r="A814" s="501"/>
      <c r="B814" s="500"/>
      <c r="C814" s="499"/>
      <c r="D814" s="499"/>
      <c r="E814" s="499"/>
      <c r="F814" s="499"/>
    </row>
    <row r="815" spans="1:6" ht="15">
      <c r="A815" s="501"/>
      <c r="B815" s="500"/>
      <c r="C815" s="499"/>
      <c r="D815" s="499"/>
      <c r="E815" s="499"/>
      <c r="F815" s="499"/>
    </row>
    <row r="816" spans="1:6" ht="15">
      <c r="A816" s="501"/>
      <c r="B816" s="500"/>
      <c r="C816" s="499"/>
      <c r="D816" s="499"/>
      <c r="E816" s="499"/>
      <c r="F816" s="499"/>
    </row>
    <row r="817" spans="1:6" ht="15">
      <c r="A817" s="501"/>
      <c r="B817" s="500"/>
      <c r="C817" s="499"/>
      <c r="D817" s="499"/>
      <c r="E817" s="499"/>
      <c r="F817" s="499"/>
    </row>
    <row r="818" spans="1:6" ht="15">
      <c r="A818" s="501"/>
      <c r="B818" s="500"/>
      <c r="C818" s="499"/>
      <c r="D818" s="499"/>
      <c r="E818" s="499"/>
      <c r="F818" s="499"/>
    </row>
    <row r="819" spans="1:6" ht="15">
      <c r="A819" s="501"/>
      <c r="B819" s="500"/>
      <c r="C819" s="499"/>
      <c r="D819" s="499"/>
      <c r="E819" s="499"/>
      <c r="F819" s="499"/>
    </row>
    <row r="820" spans="1:6" ht="15">
      <c r="A820" s="501"/>
      <c r="B820" s="500"/>
      <c r="C820" s="499"/>
      <c r="D820" s="499"/>
      <c r="E820" s="499"/>
      <c r="F820" s="499"/>
    </row>
    <row r="821" spans="1:6" ht="15">
      <c r="A821" s="501"/>
      <c r="B821" s="500"/>
      <c r="C821" s="499"/>
      <c r="D821" s="499"/>
      <c r="E821" s="499"/>
      <c r="F821" s="499"/>
    </row>
    <row r="822" spans="1:6" ht="15">
      <c r="A822" s="501"/>
      <c r="B822" s="500"/>
      <c r="C822" s="499"/>
      <c r="D822" s="499"/>
      <c r="E822" s="499"/>
      <c r="F822" s="499"/>
    </row>
    <row r="823" spans="1:6" ht="15">
      <c r="A823" s="501"/>
      <c r="B823" s="500"/>
      <c r="C823" s="499"/>
      <c r="D823" s="499"/>
      <c r="E823" s="499"/>
      <c r="F823" s="499"/>
    </row>
    <row r="824" spans="1:6" ht="15">
      <c r="A824" s="501"/>
      <c r="B824" s="500"/>
      <c r="C824" s="499"/>
      <c r="D824" s="499"/>
      <c r="E824" s="499"/>
      <c r="F824" s="499"/>
    </row>
    <row r="825" spans="1:6" ht="15">
      <c r="A825" s="501"/>
      <c r="B825" s="500"/>
      <c r="C825" s="499"/>
      <c r="D825" s="499"/>
      <c r="E825" s="499"/>
      <c r="F825" s="499"/>
    </row>
    <row r="826" spans="1:6" ht="15">
      <c r="A826" s="501"/>
      <c r="B826" s="500"/>
      <c r="C826" s="499"/>
      <c r="D826" s="499"/>
      <c r="E826" s="499"/>
      <c r="F826" s="499"/>
    </row>
    <row r="827" spans="1:6" ht="15">
      <c r="A827" s="501"/>
      <c r="B827" s="500"/>
      <c r="C827" s="499"/>
      <c r="D827" s="499"/>
      <c r="E827" s="499"/>
      <c r="F827" s="499"/>
    </row>
    <row r="828" spans="1:6" ht="15">
      <c r="A828" s="501"/>
      <c r="B828" s="500"/>
      <c r="C828" s="499"/>
      <c r="D828" s="499"/>
      <c r="E828" s="499"/>
      <c r="F828" s="499"/>
    </row>
    <row r="829" spans="1:6" ht="15">
      <c r="A829" s="501"/>
      <c r="B829" s="500"/>
      <c r="C829" s="499"/>
      <c r="D829" s="499"/>
      <c r="E829" s="499"/>
      <c r="F829" s="499"/>
    </row>
    <row r="830" spans="1:6" ht="15">
      <c r="A830" s="501"/>
      <c r="B830" s="500"/>
      <c r="C830" s="499"/>
      <c r="D830" s="499"/>
      <c r="E830" s="499"/>
      <c r="F830" s="499"/>
    </row>
    <row r="831" spans="1:6" ht="15">
      <c r="A831" s="501"/>
      <c r="B831" s="500"/>
      <c r="C831" s="499"/>
      <c r="D831" s="499"/>
      <c r="E831" s="499"/>
      <c r="F831" s="499"/>
    </row>
    <row r="832" spans="1:6" ht="15">
      <c r="A832" s="501"/>
      <c r="B832" s="500"/>
      <c r="C832" s="499"/>
      <c r="D832" s="499"/>
      <c r="E832" s="499"/>
      <c r="F832" s="499"/>
    </row>
    <row r="833" spans="1:6" ht="15">
      <c r="A833" s="501"/>
      <c r="B833" s="500"/>
      <c r="C833" s="499"/>
      <c r="D833" s="499"/>
      <c r="E833" s="499"/>
      <c r="F833" s="499"/>
    </row>
    <row r="834" spans="1:6" ht="15">
      <c r="A834" s="501"/>
      <c r="B834" s="500"/>
      <c r="C834" s="499"/>
      <c r="D834" s="499"/>
      <c r="E834" s="499"/>
      <c r="F834" s="499"/>
    </row>
    <row r="835" spans="1:6" ht="15">
      <c r="A835" s="501"/>
      <c r="B835" s="500"/>
      <c r="C835" s="499"/>
      <c r="D835" s="499"/>
      <c r="E835" s="499"/>
      <c r="F835" s="499"/>
    </row>
    <row r="836" spans="1:6" ht="15">
      <c r="A836" s="501"/>
      <c r="B836" s="500"/>
      <c r="C836" s="499"/>
      <c r="D836" s="499"/>
      <c r="E836" s="499"/>
      <c r="F836" s="499"/>
    </row>
    <row r="837" spans="1:6" ht="15">
      <c r="A837" s="501"/>
      <c r="B837" s="500"/>
      <c r="C837" s="499"/>
      <c r="D837" s="499"/>
      <c r="E837" s="499"/>
      <c r="F837" s="499"/>
    </row>
    <row r="838" spans="1:6" ht="15">
      <c r="A838" s="501"/>
      <c r="B838" s="500"/>
      <c r="C838" s="499"/>
      <c r="D838" s="499"/>
      <c r="E838" s="499"/>
      <c r="F838" s="499"/>
    </row>
    <row r="839" spans="1:6" ht="15">
      <c r="A839" s="501"/>
      <c r="B839" s="500"/>
      <c r="C839" s="499"/>
      <c r="D839" s="499"/>
      <c r="E839" s="499"/>
      <c r="F839" s="499"/>
    </row>
    <row r="840" spans="1:6" ht="15">
      <c r="A840" s="501"/>
      <c r="B840" s="500"/>
      <c r="C840" s="499"/>
      <c r="D840" s="499"/>
      <c r="E840" s="499"/>
      <c r="F840" s="499"/>
    </row>
    <row r="841" spans="1:6" ht="15">
      <c r="A841" s="501"/>
      <c r="B841" s="500"/>
      <c r="C841" s="499"/>
      <c r="D841" s="499"/>
      <c r="E841" s="499"/>
      <c r="F841" s="499"/>
    </row>
    <row r="842" spans="1:6" ht="15">
      <c r="A842" s="501"/>
      <c r="B842" s="500"/>
      <c r="C842" s="499"/>
      <c r="D842" s="499"/>
      <c r="E842" s="499"/>
      <c r="F842" s="499"/>
    </row>
    <row r="843" spans="1:6" ht="15">
      <c r="A843" s="501"/>
      <c r="B843" s="500"/>
      <c r="C843" s="499"/>
      <c r="D843" s="499"/>
      <c r="E843" s="499"/>
      <c r="F843" s="499"/>
    </row>
    <row r="844" spans="1:6" ht="15">
      <c r="A844" s="501"/>
      <c r="B844" s="500"/>
      <c r="C844" s="499"/>
      <c r="D844" s="499"/>
      <c r="E844" s="499"/>
      <c r="F844" s="499"/>
    </row>
    <row r="845" spans="1:6" ht="15">
      <c r="A845" s="501"/>
      <c r="B845" s="500"/>
      <c r="C845" s="499"/>
      <c r="D845" s="499"/>
      <c r="E845" s="499"/>
      <c r="F845" s="499"/>
    </row>
    <row r="846" spans="1:6" ht="15">
      <c r="A846" s="501"/>
      <c r="B846" s="500"/>
      <c r="C846" s="499"/>
      <c r="D846" s="499"/>
      <c r="E846" s="499"/>
      <c r="F846" s="499"/>
    </row>
    <row r="847" spans="1:6" ht="15">
      <c r="A847" s="501"/>
      <c r="B847" s="500"/>
      <c r="C847" s="499"/>
      <c r="D847" s="499"/>
      <c r="E847" s="499"/>
      <c r="F847" s="499"/>
    </row>
    <row r="848" spans="1:6" ht="15">
      <c r="A848" s="501"/>
      <c r="B848" s="500"/>
      <c r="C848" s="499"/>
      <c r="D848" s="499"/>
      <c r="E848" s="499"/>
      <c r="F848" s="499"/>
    </row>
    <row r="849" spans="1:6" ht="15">
      <c r="A849" s="501"/>
      <c r="B849" s="500"/>
      <c r="C849" s="499"/>
      <c r="D849" s="499"/>
      <c r="E849" s="499"/>
      <c r="F849" s="499"/>
    </row>
    <row r="850" spans="1:6" ht="15">
      <c r="A850" s="501"/>
      <c r="B850" s="500"/>
      <c r="C850" s="499"/>
      <c r="D850" s="499"/>
      <c r="E850" s="499"/>
      <c r="F850" s="499"/>
    </row>
    <row r="851" spans="1:6" ht="15">
      <c r="A851" s="501"/>
      <c r="B851" s="500"/>
      <c r="C851" s="499"/>
      <c r="D851" s="499"/>
      <c r="E851" s="499"/>
      <c r="F851" s="499"/>
    </row>
    <row r="852" spans="1:6" ht="15">
      <c r="A852" s="501"/>
      <c r="B852" s="500"/>
      <c r="C852" s="499"/>
      <c r="D852" s="499"/>
      <c r="E852" s="499"/>
      <c r="F852" s="499"/>
    </row>
    <row r="853" spans="1:6" ht="15">
      <c r="A853" s="501"/>
      <c r="B853" s="500"/>
      <c r="C853" s="499"/>
      <c r="D853" s="499"/>
      <c r="E853" s="499"/>
      <c r="F853" s="499"/>
    </row>
    <row r="854" spans="1:6" ht="15">
      <c r="A854" s="501"/>
      <c r="B854" s="500"/>
      <c r="C854" s="499"/>
      <c r="D854" s="499"/>
      <c r="E854" s="499"/>
      <c r="F854" s="499"/>
    </row>
    <row r="855" spans="1:6" ht="15">
      <c r="A855" s="501"/>
      <c r="B855" s="500"/>
      <c r="C855" s="499"/>
      <c r="D855" s="499"/>
      <c r="E855" s="499"/>
      <c r="F855" s="499"/>
    </row>
    <row r="856" spans="1:6" ht="15">
      <c r="A856" s="501"/>
      <c r="B856" s="500"/>
      <c r="C856" s="499"/>
      <c r="D856" s="499"/>
      <c r="E856" s="499"/>
      <c r="F856" s="499"/>
    </row>
    <row r="857" spans="1:6" ht="15">
      <c r="A857" s="501"/>
      <c r="B857" s="500"/>
      <c r="C857" s="499"/>
      <c r="D857" s="499"/>
      <c r="E857" s="499"/>
      <c r="F857" s="499"/>
    </row>
    <row r="858" spans="1:6" ht="15">
      <c r="A858" s="501"/>
      <c r="B858" s="500"/>
      <c r="C858" s="499"/>
      <c r="D858" s="499"/>
      <c r="E858" s="499"/>
      <c r="F858" s="499"/>
    </row>
    <row r="859" spans="1:6" ht="15">
      <c r="A859" s="501"/>
      <c r="B859" s="500"/>
      <c r="C859" s="499"/>
      <c r="D859" s="499"/>
      <c r="E859" s="499"/>
      <c r="F859" s="499"/>
    </row>
    <row r="860" spans="1:6" ht="15">
      <c r="A860" s="501"/>
      <c r="B860" s="500"/>
      <c r="C860" s="499"/>
      <c r="D860" s="499"/>
      <c r="E860" s="499"/>
      <c r="F860" s="499"/>
    </row>
    <row r="861" spans="1:6" ht="15">
      <c r="A861" s="501"/>
      <c r="B861" s="500"/>
      <c r="C861" s="499"/>
      <c r="D861" s="499"/>
      <c r="E861" s="499"/>
      <c r="F861" s="499"/>
    </row>
    <row r="862" spans="1:6" ht="15">
      <c r="A862" s="501"/>
      <c r="B862" s="500"/>
      <c r="C862" s="499"/>
      <c r="D862" s="499"/>
      <c r="E862" s="499"/>
      <c r="F862" s="499"/>
    </row>
    <row r="863" spans="1:6" ht="15">
      <c r="A863" s="501"/>
      <c r="B863" s="500"/>
      <c r="C863" s="499"/>
      <c r="D863" s="499"/>
      <c r="E863" s="499"/>
      <c r="F863" s="499"/>
    </row>
    <row r="864" spans="1:6" ht="15">
      <c r="A864" s="501"/>
      <c r="B864" s="500"/>
      <c r="C864" s="499"/>
      <c r="D864" s="499"/>
      <c r="E864" s="499"/>
      <c r="F864" s="499"/>
    </row>
    <row r="865" spans="1:6" ht="15">
      <c r="A865" s="501"/>
      <c r="B865" s="500"/>
      <c r="C865" s="499"/>
      <c r="D865" s="499"/>
      <c r="E865" s="499"/>
      <c r="F865" s="499"/>
    </row>
    <row r="866" spans="1:6" ht="15">
      <c r="A866" s="501"/>
      <c r="B866" s="500"/>
      <c r="C866" s="499"/>
      <c r="D866" s="499"/>
      <c r="E866" s="499"/>
      <c r="F866" s="499"/>
    </row>
    <row r="867" spans="1:6" ht="15">
      <c r="A867" s="501"/>
      <c r="B867" s="500"/>
      <c r="C867" s="499"/>
      <c r="D867" s="499"/>
      <c r="E867" s="499"/>
      <c r="F867" s="499"/>
    </row>
    <row r="868" spans="1:6" ht="15">
      <c r="A868" s="501"/>
      <c r="B868" s="500"/>
      <c r="C868" s="499"/>
      <c r="D868" s="499"/>
      <c r="E868" s="499"/>
      <c r="F868" s="499"/>
    </row>
    <row r="869" spans="1:6" ht="15">
      <c r="A869" s="501"/>
      <c r="B869" s="500"/>
      <c r="C869" s="499"/>
      <c r="D869" s="499"/>
      <c r="E869" s="499"/>
      <c r="F869" s="499"/>
    </row>
    <row r="870" spans="1:6" ht="15">
      <c r="A870" s="501"/>
      <c r="B870" s="500"/>
      <c r="C870" s="499"/>
      <c r="D870" s="499"/>
      <c r="E870" s="499"/>
      <c r="F870" s="499"/>
    </row>
    <row r="871" spans="1:6" ht="15">
      <c r="A871" s="501"/>
      <c r="B871" s="500"/>
      <c r="C871" s="499"/>
      <c r="D871" s="499"/>
      <c r="E871" s="499"/>
      <c r="F871" s="499"/>
    </row>
    <row r="872" spans="1:6" ht="15">
      <c r="A872" s="501"/>
      <c r="B872" s="500"/>
      <c r="C872" s="499"/>
      <c r="D872" s="499"/>
      <c r="E872" s="499"/>
      <c r="F872" s="499"/>
    </row>
    <row r="873" spans="1:6" ht="15">
      <c r="A873" s="501"/>
      <c r="B873" s="500"/>
      <c r="C873" s="499"/>
      <c r="D873" s="499"/>
      <c r="E873" s="499"/>
      <c r="F873" s="499"/>
    </row>
    <row r="874" spans="1:6" ht="15">
      <c r="A874" s="501"/>
      <c r="B874" s="500"/>
      <c r="C874" s="499"/>
      <c r="D874" s="499"/>
      <c r="E874" s="499"/>
      <c r="F874" s="499"/>
    </row>
    <row r="875" spans="1:6" ht="15">
      <c r="A875" s="501"/>
      <c r="B875" s="500"/>
      <c r="C875" s="499"/>
      <c r="D875" s="499"/>
      <c r="E875" s="499"/>
      <c r="F875" s="499"/>
    </row>
    <row r="876" spans="1:6" ht="15">
      <c r="A876" s="501"/>
      <c r="B876" s="500"/>
      <c r="C876" s="499"/>
      <c r="D876" s="499"/>
      <c r="E876" s="499"/>
      <c r="F876" s="499"/>
    </row>
    <row r="877" spans="1:6" ht="15">
      <c r="A877" s="501"/>
      <c r="B877" s="500"/>
      <c r="C877" s="499"/>
      <c r="D877" s="499"/>
      <c r="E877" s="499"/>
      <c r="F877" s="499"/>
    </row>
    <row r="878" spans="1:6" ht="15">
      <c r="A878" s="501"/>
      <c r="B878" s="500"/>
      <c r="C878" s="499"/>
      <c r="D878" s="499"/>
      <c r="E878" s="499"/>
      <c r="F878" s="499"/>
    </row>
    <row r="879" spans="1:6" ht="15">
      <c r="A879" s="501"/>
      <c r="B879" s="500"/>
      <c r="C879" s="499"/>
      <c r="D879" s="499"/>
      <c r="E879" s="499"/>
      <c r="F879" s="499"/>
    </row>
    <row r="880" spans="1:6" ht="15">
      <c r="A880" s="501"/>
      <c r="B880" s="500"/>
      <c r="C880" s="499"/>
      <c r="D880" s="499"/>
      <c r="E880" s="499"/>
      <c r="F880" s="499"/>
    </row>
    <row r="881" spans="1:6" ht="15">
      <c r="A881" s="501"/>
      <c r="B881" s="500"/>
      <c r="C881" s="499"/>
      <c r="D881" s="499"/>
      <c r="E881" s="499"/>
      <c r="F881" s="499"/>
    </row>
    <row r="882" spans="1:6" ht="15">
      <c r="A882" s="501"/>
      <c r="B882" s="500"/>
      <c r="C882" s="499"/>
      <c r="D882" s="499"/>
      <c r="E882" s="499"/>
      <c r="F882" s="499"/>
    </row>
    <row r="883" spans="1:6" ht="15">
      <c r="A883" s="501"/>
      <c r="B883" s="500"/>
      <c r="C883" s="499"/>
      <c r="D883" s="499"/>
      <c r="E883" s="499"/>
      <c r="F883" s="499"/>
    </row>
    <row r="884" spans="1:6" ht="15">
      <c r="A884" s="501"/>
      <c r="B884" s="500"/>
      <c r="C884" s="499"/>
      <c r="D884" s="499"/>
      <c r="E884" s="499"/>
      <c r="F884" s="499"/>
    </row>
    <row r="885" spans="1:6" ht="15">
      <c r="A885" s="501"/>
      <c r="B885" s="500"/>
      <c r="C885" s="499"/>
      <c r="D885" s="499"/>
      <c r="E885" s="499"/>
      <c r="F885" s="499"/>
    </row>
    <row r="886" spans="1:6" ht="15">
      <c r="A886" s="501"/>
      <c r="B886" s="500"/>
      <c r="C886" s="499"/>
      <c r="D886" s="499"/>
      <c r="E886" s="499"/>
      <c r="F886" s="499"/>
    </row>
    <row r="887" spans="1:6" ht="15">
      <c r="A887" s="501"/>
      <c r="B887" s="500"/>
      <c r="C887" s="499"/>
      <c r="D887" s="499"/>
      <c r="E887" s="499"/>
      <c r="F887" s="499"/>
    </row>
    <row r="888" spans="1:6" ht="15">
      <c r="A888" s="501"/>
      <c r="B888" s="500"/>
      <c r="C888" s="499"/>
      <c r="D888" s="499"/>
      <c r="E888" s="499"/>
      <c r="F888" s="499"/>
    </row>
    <row r="889" spans="1:6" ht="15">
      <c r="A889" s="501"/>
      <c r="B889" s="500"/>
      <c r="C889" s="499"/>
      <c r="D889" s="499"/>
      <c r="E889" s="499"/>
      <c r="F889" s="499"/>
    </row>
    <row r="890" spans="1:6" ht="15">
      <c r="A890" s="501"/>
      <c r="B890" s="500"/>
      <c r="C890" s="499"/>
      <c r="D890" s="499"/>
      <c r="E890" s="499"/>
      <c r="F890" s="499"/>
    </row>
    <row r="891" spans="1:6" ht="15">
      <c r="A891" s="501"/>
      <c r="B891" s="500"/>
      <c r="C891" s="499"/>
      <c r="D891" s="499"/>
      <c r="E891" s="499"/>
      <c r="F891" s="499"/>
    </row>
    <row r="892" spans="1:6" ht="15">
      <c r="A892" s="501"/>
      <c r="B892" s="500"/>
      <c r="C892" s="499"/>
      <c r="D892" s="499"/>
      <c r="E892" s="499"/>
      <c r="F892" s="499"/>
    </row>
    <row r="893" spans="1:6" ht="15">
      <c r="A893" s="501"/>
      <c r="B893" s="500"/>
      <c r="C893" s="499"/>
      <c r="D893" s="499"/>
      <c r="E893" s="499"/>
      <c r="F893" s="499"/>
    </row>
    <row r="894" spans="1:6" ht="15">
      <c r="A894" s="501"/>
      <c r="B894" s="500"/>
      <c r="C894" s="499"/>
      <c r="D894" s="499"/>
      <c r="E894" s="499"/>
      <c r="F894" s="499"/>
    </row>
    <row r="895" spans="1:6" ht="15">
      <c r="A895" s="501"/>
      <c r="B895" s="500"/>
      <c r="C895" s="499"/>
      <c r="D895" s="499"/>
      <c r="E895" s="499"/>
      <c r="F895" s="499"/>
    </row>
    <row r="896" spans="1:6" ht="15">
      <c r="A896" s="501"/>
      <c r="B896" s="500"/>
      <c r="C896" s="499"/>
      <c r="D896" s="499"/>
      <c r="E896" s="499"/>
      <c r="F896" s="499"/>
    </row>
    <row r="897" spans="1:6" ht="15">
      <c r="A897" s="501"/>
      <c r="B897" s="500"/>
      <c r="C897" s="499"/>
      <c r="D897" s="499"/>
      <c r="E897" s="499"/>
      <c r="F897" s="499"/>
    </row>
    <row r="898" spans="1:6" ht="15">
      <c r="A898" s="501"/>
      <c r="B898" s="500"/>
      <c r="C898" s="499"/>
      <c r="D898" s="499"/>
      <c r="E898" s="499"/>
      <c r="F898" s="499"/>
    </row>
    <row r="899" spans="1:6" ht="15">
      <c r="A899" s="501"/>
      <c r="B899" s="500"/>
      <c r="C899" s="499"/>
      <c r="D899" s="499"/>
      <c r="E899" s="499"/>
      <c r="F899" s="499"/>
    </row>
    <row r="900" spans="1:6" ht="15">
      <c r="A900" s="501"/>
      <c r="B900" s="500"/>
      <c r="C900" s="499"/>
      <c r="D900" s="499"/>
      <c r="E900" s="499"/>
      <c r="F900" s="499"/>
    </row>
    <row r="901" spans="1:6" ht="15">
      <c r="A901" s="501"/>
      <c r="B901" s="500"/>
      <c r="C901" s="499"/>
      <c r="D901" s="499"/>
      <c r="E901" s="499"/>
      <c r="F901" s="499"/>
    </row>
    <row r="902" spans="1:6" ht="15">
      <c r="A902" s="501"/>
      <c r="B902" s="500"/>
      <c r="C902" s="499"/>
      <c r="D902" s="499"/>
      <c r="E902" s="499"/>
      <c r="F902" s="499"/>
    </row>
    <row r="903" spans="1:6" ht="15">
      <c r="A903" s="501"/>
      <c r="B903" s="500"/>
      <c r="C903" s="499"/>
      <c r="D903" s="499"/>
      <c r="E903" s="499"/>
      <c r="F903" s="499"/>
    </row>
    <row r="904" spans="1:6" ht="15">
      <c r="A904" s="501"/>
      <c r="B904" s="500"/>
      <c r="C904" s="499"/>
      <c r="D904" s="499"/>
      <c r="E904" s="499"/>
      <c r="F904" s="499"/>
    </row>
    <row r="905" spans="1:6" ht="15">
      <c r="A905" s="501"/>
      <c r="B905" s="500"/>
      <c r="C905" s="499"/>
      <c r="D905" s="499"/>
      <c r="E905" s="499"/>
      <c r="F905" s="499"/>
    </row>
    <row r="906" spans="1:6" ht="15">
      <c r="A906" s="501"/>
      <c r="B906" s="500"/>
      <c r="C906" s="499"/>
      <c r="D906" s="499"/>
      <c r="E906" s="499"/>
      <c r="F906" s="499"/>
    </row>
    <row r="907" spans="1:6" ht="15">
      <c r="A907" s="501"/>
      <c r="B907" s="500"/>
      <c r="C907" s="499"/>
      <c r="D907" s="499"/>
      <c r="E907" s="499"/>
      <c r="F907" s="499"/>
    </row>
    <row r="908" spans="1:6" ht="15">
      <c r="A908" s="501"/>
      <c r="B908" s="500"/>
      <c r="C908" s="499"/>
      <c r="D908" s="499"/>
      <c r="E908" s="499"/>
      <c r="F908" s="499"/>
    </row>
    <row r="909" spans="1:6" ht="15">
      <c r="A909" s="501"/>
      <c r="B909" s="500"/>
      <c r="C909" s="499"/>
      <c r="D909" s="499"/>
      <c r="E909" s="499"/>
      <c r="F909" s="499"/>
    </row>
    <row r="910" spans="1:6" ht="15">
      <c r="A910" s="501"/>
      <c r="B910" s="500"/>
      <c r="C910" s="499"/>
      <c r="D910" s="499"/>
      <c r="E910" s="499"/>
      <c r="F910" s="499"/>
    </row>
    <row r="911" spans="1:6" ht="15">
      <c r="A911" s="501"/>
      <c r="B911" s="500"/>
      <c r="C911" s="499"/>
      <c r="D911" s="499"/>
      <c r="E911" s="499"/>
      <c r="F911" s="499"/>
    </row>
    <row r="912" spans="1:6" ht="15">
      <c r="A912" s="501"/>
      <c r="B912" s="500"/>
      <c r="C912" s="499"/>
      <c r="D912" s="499"/>
      <c r="E912" s="499"/>
      <c r="F912" s="499"/>
    </row>
    <row r="913" spans="1:6" ht="15">
      <c r="A913" s="501"/>
      <c r="B913" s="500"/>
      <c r="C913" s="499"/>
      <c r="D913" s="499"/>
      <c r="E913" s="499"/>
      <c r="F913" s="499"/>
    </row>
    <row r="914" spans="1:6" ht="15">
      <c r="A914" s="501"/>
      <c r="B914" s="500"/>
      <c r="C914" s="499"/>
      <c r="D914" s="499"/>
      <c r="E914" s="499"/>
      <c r="F914" s="499"/>
    </row>
    <row r="915" spans="1:6" ht="15">
      <c r="A915" s="501"/>
      <c r="B915" s="500"/>
      <c r="C915" s="499"/>
      <c r="D915" s="499"/>
      <c r="E915" s="499"/>
      <c r="F915" s="499"/>
    </row>
    <row r="916" spans="1:6" ht="15">
      <c r="A916" s="501"/>
      <c r="B916" s="500"/>
      <c r="C916" s="499"/>
      <c r="D916" s="499"/>
      <c r="E916" s="499"/>
      <c r="F916" s="499"/>
    </row>
    <row r="917" spans="1:6" ht="15">
      <c r="A917" s="501"/>
      <c r="B917" s="500"/>
      <c r="C917" s="499"/>
      <c r="D917" s="499"/>
      <c r="E917" s="499"/>
      <c r="F917" s="499"/>
    </row>
    <row r="918" spans="1:6" ht="15">
      <c r="A918" s="501"/>
      <c r="B918" s="500"/>
      <c r="C918" s="499"/>
      <c r="D918" s="499"/>
      <c r="E918" s="499"/>
      <c r="F918" s="499"/>
    </row>
    <row r="919" spans="1:6" ht="15">
      <c r="A919" s="501"/>
      <c r="B919" s="500"/>
      <c r="C919" s="499"/>
      <c r="D919" s="499"/>
      <c r="E919" s="499"/>
      <c r="F919" s="499"/>
    </row>
    <row r="920" spans="1:6" ht="15">
      <c r="A920" s="501"/>
      <c r="B920" s="500"/>
      <c r="C920" s="499"/>
      <c r="D920" s="499"/>
      <c r="E920" s="499"/>
      <c r="F920" s="499"/>
    </row>
    <row r="921" spans="1:6" ht="15">
      <c r="A921" s="501"/>
      <c r="B921" s="500"/>
      <c r="C921" s="499"/>
      <c r="D921" s="499"/>
      <c r="E921" s="499"/>
      <c r="F921" s="499"/>
    </row>
    <row r="922" spans="1:6" ht="15">
      <c r="A922" s="501"/>
      <c r="B922" s="500"/>
      <c r="C922" s="499"/>
      <c r="D922" s="499"/>
      <c r="E922" s="499"/>
      <c r="F922" s="499"/>
    </row>
    <row r="923" spans="1:6" ht="15">
      <c r="A923" s="501"/>
      <c r="B923" s="500"/>
      <c r="C923" s="499"/>
      <c r="D923" s="499"/>
      <c r="E923" s="499"/>
      <c r="F923" s="499"/>
    </row>
    <row r="924" spans="1:6" ht="15">
      <c r="A924" s="501"/>
      <c r="B924" s="500"/>
      <c r="C924" s="499"/>
      <c r="D924" s="499"/>
      <c r="E924" s="499"/>
      <c r="F924" s="499"/>
    </row>
    <row r="925" spans="1:6" ht="15">
      <c r="A925" s="501"/>
      <c r="B925" s="500"/>
      <c r="C925" s="499"/>
      <c r="D925" s="499"/>
      <c r="E925" s="499"/>
      <c r="F925" s="499"/>
    </row>
    <row r="926" spans="1:6" ht="15">
      <c r="A926" s="501"/>
      <c r="B926" s="500"/>
      <c r="C926" s="499"/>
      <c r="D926" s="499"/>
      <c r="E926" s="499"/>
      <c r="F926" s="499"/>
    </row>
    <row r="927" spans="1:6" ht="15">
      <c r="A927" s="501"/>
      <c r="B927" s="500"/>
      <c r="C927" s="499"/>
      <c r="D927" s="499"/>
      <c r="E927" s="499"/>
      <c r="F927" s="499"/>
    </row>
    <row r="928" spans="1:6" ht="15">
      <c r="A928" s="501"/>
      <c r="B928" s="500"/>
      <c r="C928" s="499"/>
      <c r="D928" s="499"/>
      <c r="E928" s="499"/>
      <c r="F928" s="499"/>
    </row>
    <row r="929" spans="1:6" ht="15">
      <c r="A929" s="501"/>
      <c r="B929" s="500"/>
      <c r="C929" s="499"/>
      <c r="D929" s="499"/>
      <c r="E929" s="499"/>
      <c r="F929" s="499"/>
    </row>
    <row r="930" spans="1:6" ht="15">
      <c r="A930" s="501"/>
      <c r="B930" s="500"/>
      <c r="C930" s="499"/>
      <c r="D930" s="499"/>
      <c r="E930" s="499"/>
      <c r="F930" s="499"/>
    </row>
    <row r="931" spans="1:6" ht="15">
      <c r="A931" s="501"/>
      <c r="B931" s="500"/>
      <c r="C931" s="499"/>
      <c r="D931" s="499"/>
      <c r="E931" s="499"/>
      <c r="F931" s="499"/>
    </row>
    <row r="932" spans="1:6" ht="15">
      <c r="A932" s="501"/>
      <c r="B932" s="500"/>
      <c r="C932" s="499"/>
      <c r="D932" s="499"/>
      <c r="E932" s="499"/>
      <c r="F932" s="499"/>
    </row>
    <row r="933" spans="1:6" ht="15">
      <c r="A933" s="501"/>
      <c r="B933" s="500"/>
      <c r="C933" s="499"/>
      <c r="D933" s="499"/>
      <c r="E933" s="499"/>
      <c r="F933" s="499"/>
    </row>
    <row r="934" spans="1:6" ht="15">
      <c r="A934" s="501"/>
      <c r="B934" s="500"/>
      <c r="C934" s="499"/>
      <c r="D934" s="499"/>
      <c r="E934" s="499"/>
      <c r="F934" s="499"/>
    </row>
    <row r="935" spans="1:6" ht="15">
      <c r="A935" s="501"/>
      <c r="B935" s="500"/>
      <c r="C935" s="499"/>
      <c r="D935" s="499"/>
      <c r="E935" s="499"/>
      <c r="F935" s="499"/>
    </row>
    <row r="936" spans="1:6" ht="15">
      <c r="A936" s="501"/>
      <c r="B936" s="500"/>
      <c r="C936" s="499"/>
      <c r="D936" s="499"/>
      <c r="E936" s="499"/>
      <c r="F936" s="499"/>
    </row>
    <row r="937" spans="1:6" ht="15">
      <c r="A937" s="501"/>
      <c r="B937" s="500"/>
      <c r="C937" s="499"/>
      <c r="D937" s="499"/>
      <c r="E937" s="499"/>
      <c r="F937" s="499"/>
    </row>
    <row r="938" spans="1:6" ht="15">
      <c r="A938" s="501"/>
      <c r="B938" s="500"/>
      <c r="C938" s="499"/>
      <c r="D938" s="499"/>
      <c r="E938" s="499"/>
      <c r="F938" s="499"/>
    </row>
    <row r="939" spans="1:6" ht="15">
      <c r="A939" s="501"/>
      <c r="B939" s="500"/>
      <c r="C939" s="499"/>
      <c r="D939" s="499"/>
      <c r="E939" s="499"/>
      <c r="F939" s="499"/>
    </row>
    <row r="940" spans="1:6" ht="15">
      <c r="A940" s="501"/>
      <c r="B940" s="500"/>
      <c r="C940" s="499"/>
      <c r="D940" s="499"/>
      <c r="E940" s="499"/>
      <c r="F940" s="499"/>
    </row>
    <row r="941" spans="1:6" ht="15">
      <c r="A941" s="501"/>
      <c r="B941" s="500"/>
      <c r="C941" s="499"/>
      <c r="D941" s="499"/>
      <c r="E941" s="499"/>
      <c r="F941" s="499"/>
    </row>
    <row r="942" spans="1:6" ht="15">
      <c r="A942" s="501"/>
      <c r="B942" s="500"/>
      <c r="C942" s="499"/>
      <c r="D942" s="499"/>
      <c r="E942" s="499"/>
      <c r="F942" s="499"/>
    </row>
    <row r="943" spans="1:6" ht="15">
      <c r="A943" s="501"/>
      <c r="B943" s="500"/>
      <c r="C943" s="499"/>
      <c r="D943" s="499"/>
      <c r="E943" s="499"/>
      <c r="F943" s="499"/>
    </row>
    <row r="944" spans="1:6" ht="15">
      <c r="A944" s="501"/>
      <c r="B944" s="500"/>
      <c r="C944" s="499"/>
      <c r="D944" s="499"/>
      <c r="E944" s="499"/>
      <c r="F944" s="499"/>
    </row>
    <row r="945" spans="1:6" ht="15">
      <c r="A945" s="501"/>
      <c r="B945" s="500"/>
      <c r="C945" s="499"/>
      <c r="D945" s="499"/>
      <c r="E945" s="499"/>
      <c r="F945" s="499"/>
    </row>
    <row r="946" spans="1:6" ht="15">
      <c r="A946" s="501"/>
      <c r="B946" s="500"/>
      <c r="C946" s="499"/>
      <c r="D946" s="499"/>
      <c r="E946" s="499"/>
      <c r="F946" s="499"/>
    </row>
    <row r="947" spans="1:6" ht="15">
      <c r="A947" s="501"/>
      <c r="B947" s="500"/>
      <c r="C947" s="499"/>
      <c r="D947" s="499"/>
      <c r="E947" s="499"/>
      <c r="F947" s="499"/>
    </row>
    <row r="948" spans="1:6" ht="15">
      <c r="A948" s="501"/>
      <c r="B948" s="500"/>
      <c r="C948" s="499"/>
      <c r="D948" s="499"/>
      <c r="E948" s="499"/>
      <c r="F948" s="499"/>
    </row>
    <row r="949" spans="1:6" ht="15">
      <c r="A949" s="501"/>
      <c r="B949" s="500"/>
      <c r="C949" s="499"/>
      <c r="D949" s="499"/>
      <c r="E949" s="499"/>
      <c r="F949" s="499"/>
    </row>
    <row r="950" spans="1:6" ht="15">
      <c r="A950" s="501"/>
      <c r="B950" s="500"/>
      <c r="C950" s="499"/>
      <c r="D950" s="499"/>
      <c r="E950" s="499"/>
      <c r="F950" s="499"/>
    </row>
    <row r="951" spans="1:6" ht="15">
      <c r="A951" s="501"/>
      <c r="B951" s="500"/>
      <c r="C951" s="499"/>
      <c r="D951" s="499"/>
      <c r="E951" s="499"/>
      <c r="F951" s="499"/>
    </row>
    <row r="952" spans="1:6" ht="15">
      <c r="A952" s="501"/>
      <c r="B952" s="500"/>
      <c r="C952" s="499"/>
      <c r="D952" s="499"/>
      <c r="E952" s="499"/>
      <c r="F952" s="499"/>
    </row>
    <row r="953" spans="1:6" ht="15">
      <c r="A953" s="501"/>
      <c r="B953" s="500"/>
      <c r="C953" s="499"/>
      <c r="D953" s="499"/>
      <c r="E953" s="499"/>
      <c r="F953" s="499"/>
    </row>
    <row r="954" spans="1:6" ht="15">
      <c r="A954" s="501"/>
      <c r="B954" s="500"/>
      <c r="C954" s="499"/>
      <c r="D954" s="499"/>
      <c r="E954" s="499"/>
      <c r="F954" s="499"/>
    </row>
    <row r="955" spans="1:6" ht="15">
      <c r="A955" s="501"/>
      <c r="B955" s="500"/>
      <c r="C955" s="499"/>
      <c r="D955" s="499"/>
      <c r="E955" s="499"/>
      <c r="F955" s="499"/>
    </row>
    <row r="956" spans="1:6" ht="15">
      <c r="A956" s="501"/>
      <c r="B956" s="500"/>
      <c r="C956" s="499"/>
      <c r="D956" s="499"/>
      <c r="E956" s="499"/>
      <c r="F956" s="499"/>
    </row>
    <row r="957" spans="1:6" ht="15">
      <c r="A957" s="501"/>
      <c r="B957" s="500"/>
      <c r="C957" s="499"/>
      <c r="D957" s="499"/>
      <c r="E957" s="499"/>
      <c r="F957" s="499"/>
    </row>
    <row r="958" spans="1:6" ht="15">
      <c r="A958" s="501"/>
      <c r="B958" s="500"/>
      <c r="C958" s="499"/>
      <c r="D958" s="499"/>
      <c r="E958" s="499"/>
      <c r="F958" s="499"/>
    </row>
    <row r="959" spans="1:6" ht="15">
      <c r="A959" s="501"/>
      <c r="B959" s="500"/>
      <c r="C959" s="499"/>
      <c r="D959" s="499"/>
      <c r="E959" s="499"/>
      <c r="F959" s="499"/>
    </row>
    <row r="960" spans="1:6" ht="15">
      <c r="A960" s="501"/>
      <c r="B960" s="500"/>
      <c r="C960" s="499"/>
      <c r="D960" s="499"/>
      <c r="E960" s="499"/>
      <c r="F960" s="499"/>
    </row>
    <row r="961" spans="1:6" ht="15">
      <c r="A961" s="501"/>
      <c r="B961" s="500"/>
      <c r="C961" s="499"/>
      <c r="D961" s="499"/>
      <c r="E961" s="499"/>
      <c r="F961" s="499"/>
    </row>
    <row r="962" spans="1:6" ht="15">
      <c r="A962" s="501"/>
      <c r="B962" s="500"/>
      <c r="C962" s="499"/>
      <c r="D962" s="499"/>
      <c r="E962" s="499"/>
      <c r="F962" s="499"/>
    </row>
    <row r="963" spans="1:6" ht="15">
      <c r="A963" s="501"/>
      <c r="B963" s="500"/>
      <c r="C963" s="499"/>
      <c r="D963" s="499"/>
      <c r="E963" s="499"/>
      <c r="F963" s="499"/>
    </row>
    <row r="964" spans="1:6" ht="15">
      <c r="A964" s="501"/>
      <c r="B964" s="500"/>
      <c r="C964" s="499"/>
      <c r="D964" s="499"/>
      <c r="E964" s="499"/>
      <c r="F964" s="499"/>
    </row>
    <row r="965" spans="1:6" ht="15">
      <c r="A965" s="501"/>
      <c r="B965" s="500"/>
      <c r="C965" s="499"/>
      <c r="D965" s="499"/>
      <c r="E965" s="499"/>
      <c r="F965" s="499"/>
    </row>
    <row r="966" spans="1:6" ht="15">
      <c r="A966" s="501"/>
      <c r="B966" s="500"/>
      <c r="C966" s="499"/>
      <c r="D966" s="499"/>
      <c r="E966" s="499"/>
      <c r="F966" s="499"/>
    </row>
    <row r="967" spans="1:6" ht="15">
      <c r="A967" s="501"/>
      <c r="B967" s="500"/>
      <c r="C967" s="499"/>
      <c r="D967" s="499"/>
      <c r="E967" s="499"/>
      <c r="F967" s="499"/>
    </row>
    <row r="968" spans="1:6" ht="15">
      <c r="A968" s="501"/>
      <c r="B968" s="500"/>
      <c r="C968" s="499"/>
      <c r="D968" s="499"/>
      <c r="E968" s="499"/>
      <c r="F968" s="499"/>
    </row>
    <row r="969" spans="1:6" ht="15">
      <c r="A969" s="501"/>
      <c r="B969" s="500"/>
      <c r="C969" s="499"/>
      <c r="D969" s="499"/>
      <c r="E969" s="499"/>
      <c r="F969" s="499"/>
    </row>
    <row r="970" spans="1:6" ht="15">
      <c r="A970" s="501"/>
      <c r="B970" s="500"/>
      <c r="C970" s="499"/>
      <c r="D970" s="499"/>
      <c r="E970" s="499"/>
      <c r="F970" s="499"/>
    </row>
    <row r="971" spans="1:6" ht="15">
      <c r="A971" s="501"/>
      <c r="B971" s="500"/>
      <c r="C971" s="499"/>
      <c r="D971" s="499"/>
      <c r="E971" s="499"/>
      <c r="F971" s="499"/>
    </row>
    <row r="972" spans="1:6" ht="15">
      <c r="A972" s="501"/>
      <c r="B972" s="500"/>
      <c r="C972" s="499"/>
      <c r="D972" s="499"/>
      <c r="E972" s="499"/>
      <c r="F972" s="499"/>
    </row>
    <row r="973" spans="1:6" ht="15">
      <c r="A973" s="501"/>
      <c r="B973" s="500"/>
      <c r="C973" s="499"/>
      <c r="D973" s="499"/>
      <c r="E973" s="499"/>
      <c r="F973" s="499"/>
    </row>
    <row r="974" spans="1:6" ht="15">
      <c r="A974" s="501"/>
      <c r="B974" s="500"/>
      <c r="C974" s="499"/>
      <c r="D974" s="499"/>
      <c r="E974" s="499"/>
      <c r="F974" s="499"/>
    </row>
    <row r="975" spans="1:6" ht="15">
      <c r="A975" s="501"/>
      <c r="B975" s="500"/>
      <c r="C975" s="499"/>
      <c r="D975" s="499"/>
      <c r="E975" s="499"/>
      <c r="F975" s="499"/>
    </row>
    <row r="976" spans="1:6" ht="15">
      <c r="A976" s="501"/>
      <c r="B976" s="500"/>
      <c r="C976" s="499"/>
      <c r="D976" s="499"/>
      <c r="E976" s="499"/>
      <c r="F976" s="499"/>
    </row>
    <row r="977" spans="1:6" ht="15">
      <c r="A977" s="501"/>
      <c r="B977" s="500"/>
      <c r="C977" s="499"/>
      <c r="D977" s="499"/>
      <c r="E977" s="499"/>
      <c r="F977" s="499"/>
    </row>
    <row r="978" spans="1:6" ht="15">
      <c r="A978" s="501"/>
      <c r="B978" s="500"/>
      <c r="C978" s="499"/>
      <c r="D978" s="499"/>
      <c r="E978" s="499"/>
      <c r="F978" s="499"/>
    </row>
    <row r="979" spans="1:6" ht="15">
      <c r="A979" s="501"/>
      <c r="B979" s="500"/>
      <c r="C979" s="499"/>
      <c r="D979" s="499"/>
      <c r="E979" s="499"/>
      <c r="F979" s="499"/>
    </row>
    <row r="980" spans="1:6" ht="15">
      <c r="A980" s="501"/>
      <c r="B980" s="500"/>
      <c r="C980" s="499"/>
      <c r="D980" s="499"/>
      <c r="E980" s="499"/>
      <c r="F980" s="499"/>
    </row>
    <row r="981" spans="1:6" ht="15">
      <c r="A981" s="501"/>
      <c r="B981" s="500"/>
      <c r="C981" s="499"/>
      <c r="D981" s="499"/>
      <c r="E981" s="499"/>
      <c r="F981" s="499"/>
    </row>
    <row r="982" spans="1:6" ht="15">
      <c r="A982" s="501"/>
      <c r="B982" s="500"/>
      <c r="C982" s="499"/>
      <c r="D982" s="499"/>
      <c r="E982" s="499"/>
      <c r="F982" s="499"/>
    </row>
    <row r="983" spans="1:6" ht="15">
      <c r="A983" s="501"/>
      <c r="B983" s="500"/>
      <c r="C983" s="499"/>
      <c r="D983" s="499"/>
      <c r="E983" s="499"/>
      <c r="F983" s="499"/>
    </row>
    <row r="984" spans="1:6" ht="15">
      <c r="A984" s="501"/>
      <c r="B984" s="500"/>
      <c r="C984" s="499"/>
      <c r="D984" s="499"/>
      <c r="E984" s="499"/>
      <c r="F984" s="499"/>
    </row>
    <row r="985" spans="1:6" ht="15">
      <c r="A985" s="501"/>
      <c r="B985" s="500"/>
      <c r="C985" s="499"/>
      <c r="D985" s="499"/>
      <c r="E985" s="499"/>
      <c r="F985" s="499"/>
    </row>
    <row r="986" spans="1:6" ht="15">
      <c r="A986" s="501"/>
      <c r="B986" s="500"/>
      <c r="C986" s="499"/>
      <c r="D986" s="499"/>
      <c r="E986" s="499"/>
      <c r="F986" s="499"/>
    </row>
    <row r="987" spans="1:6" ht="15">
      <c r="A987" s="501"/>
      <c r="B987" s="500"/>
      <c r="C987" s="499"/>
      <c r="D987" s="499"/>
      <c r="E987" s="499"/>
      <c r="F987" s="499"/>
    </row>
    <row r="988" spans="1:6" ht="15">
      <c r="A988" s="501"/>
      <c r="B988" s="500"/>
      <c r="C988" s="499"/>
      <c r="D988" s="499"/>
      <c r="E988" s="499"/>
      <c r="F988" s="499"/>
    </row>
    <row r="989" spans="1:6" ht="15">
      <c r="A989" s="501"/>
      <c r="B989" s="500"/>
      <c r="C989" s="499"/>
      <c r="D989" s="499"/>
      <c r="E989" s="499"/>
      <c r="F989" s="499"/>
    </row>
    <row r="990" spans="1:6" ht="15">
      <c r="A990" s="501"/>
      <c r="B990" s="500"/>
      <c r="C990" s="499"/>
      <c r="D990" s="499"/>
      <c r="E990" s="499"/>
      <c r="F990" s="499"/>
    </row>
    <row r="991" spans="1:6" ht="15">
      <c r="A991" s="501"/>
      <c r="B991" s="500"/>
      <c r="C991" s="499"/>
      <c r="D991" s="499"/>
      <c r="E991" s="499"/>
      <c r="F991" s="499"/>
    </row>
    <row r="992" spans="1:6" ht="15">
      <c r="A992" s="501"/>
      <c r="B992" s="500"/>
      <c r="C992" s="499"/>
      <c r="D992" s="499"/>
      <c r="E992" s="499"/>
      <c r="F992" s="499"/>
    </row>
    <row r="993" spans="1:6" ht="15">
      <c r="A993" s="501"/>
      <c r="B993" s="500"/>
      <c r="C993" s="499"/>
      <c r="D993" s="499"/>
      <c r="E993" s="499"/>
      <c r="F993" s="499"/>
    </row>
    <row r="994" spans="1:6" ht="15">
      <c r="A994" s="501"/>
      <c r="B994" s="500"/>
      <c r="C994" s="499"/>
      <c r="D994" s="499"/>
      <c r="E994" s="499"/>
      <c r="F994" s="499"/>
    </row>
    <row r="995" spans="1:6" ht="15">
      <c r="A995" s="501"/>
      <c r="B995" s="500"/>
      <c r="C995" s="499"/>
      <c r="D995" s="499"/>
      <c r="E995" s="499"/>
      <c r="F995" s="499"/>
    </row>
    <row r="996" spans="1:6" ht="15">
      <c r="A996" s="501"/>
      <c r="B996" s="500"/>
      <c r="C996" s="499"/>
      <c r="D996" s="499"/>
      <c r="E996" s="499"/>
      <c r="F996" s="499"/>
    </row>
    <row r="997" spans="1:6" ht="15">
      <c r="A997" s="501"/>
      <c r="B997" s="500"/>
      <c r="C997" s="499"/>
      <c r="D997" s="499"/>
      <c r="E997" s="499"/>
      <c r="F997" s="499"/>
    </row>
    <row r="998" spans="1:6" ht="15">
      <c r="A998" s="501"/>
      <c r="B998" s="500"/>
      <c r="C998" s="499"/>
      <c r="D998" s="499"/>
      <c r="E998" s="499"/>
      <c r="F998" s="499"/>
    </row>
    <row r="999" spans="1:6" ht="15">
      <c r="A999" s="501"/>
      <c r="B999" s="500"/>
      <c r="C999" s="499"/>
      <c r="D999" s="499"/>
      <c r="E999" s="499"/>
      <c r="F999" s="499"/>
    </row>
    <row r="1000" spans="1:6" ht="15">
      <c r="A1000" s="501"/>
      <c r="B1000" s="500"/>
      <c r="C1000" s="499"/>
      <c r="D1000" s="499"/>
      <c r="E1000" s="499"/>
      <c r="F1000" s="499"/>
    </row>
    <row r="1001" spans="1:6" ht="15">
      <c r="A1001" s="501"/>
      <c r="B1001" s="500"/>
      <c r="C1001" s="499"/>
      <c r="D1001" s="499"/>
      <c r="E1001" s="499"/>
      <c r="F1001" s="499"/>
    </row>
    <row r="1002" spans="1:6" ht="15">
      <c r="A1002" s="501"/>
      <c r="B1002" s="500"/>
      <c r="C1002" s="499"/>
      <c r="D1002" s="499"/>
      <c r="E1002" s="499"/>
      <c r="F1002" s="499"/>
    </row>
    <row r="1003" spans="1:6" ht="15">
      <c r="A1003" s="501"/>
      <c r="B1003" s="500"/>
      <c r="C1003" s="499"/>
      <c r="D1003" s="499"/>
      <c r="E1003" s="499"/>
      <c r="F1003" s="499"/>
    </row>
    <row r="1004" spans="1:6" ht="15">
      <c r="A1004" s="501"/>
      <c r="B1004" s="500"/>
      <c r="C1004" s="499"/>
      <c r="D1004" s="499"/>
      <c r="E1004" s="499"/>
      <c r="F1004" s="499"/>
    </row>
    <row r="1005" spans="1:6" ht="15">
      <c r="A1005" s="501"/>
      <c r="B1005" s="500"/>
      <c r="C1005" s="499"/>
      <c r="D1005" s="499"/>
      <c r="E1005" s="499"/>
      <c r="F1005" s="499"/>
    </row>
    <row r="1006" spans="1:6" ht="15">
      <c r="A1006" s="501"/>
      <c r="B1006" s="500"/>
      <c r="C1006" s="499"/>
      <c r="D1006" s="499"/>
      <c r="E1006" s="499"/>
      <c r="F1006" s="499"/>
    </row>
    <row r="1007" spans="1:6" ht="15">
      <c r="A1007" s="501"/>
      <c r="B1007" s="500"/>
      <c r="C1007" s="499"/>
      <c r="D1007" s="499"/>
      <c r="E1007" s="499"/>
      <c r="F1007" s="499"/>
    </row>
    <row r="1008" spans="1:6" ht="15">
      <c r="A1008" s="501"/>
      <c r="B1008" s="500"/>
      <c r="C1008" s="499"/>
      <c r="D1008" s="499"/>
      <c r="E1008" s="499"/>
      <c r="F1008" s="499"/>
    </row>
    <row r="1009" spans="1:6" ht="15">
      <c r="A1009" s="501"/>
      <c r="B1009" s="500"/>
      <c r="C1009" s="499"/>
      <c r="D1009" s="499"/>
      <c r="E1009" s="499"/>
      <c r="F1009" s="499"/>
    </row>
    <row r="1010" spans="1:6" ht="15">
      <c r="A1010" s="501"/>
      <c r="B1010" s="500"/>
      <c r="C1010" s="499"/>
      <c r="D1010" s="499"/>
      <c r="E1010" s="499"/>
      <c r="F1010" s="499"/>
    </row>
    <row r="1011" spans="1:6" ht="15">
      <c r="A1011" s="501"/>
      <c r="B1011" s="500"/>
      <c r="C1011" s="499"/>
      <c r="D1011" s="499"/>
      <c r="E1011" s="499"/>
      <c r="F1011" s="499"/>
    </row>
    <row r="1012" spans="1:6" ht="15">
      <c r="A1012" s="501"/>
      <c r="B1012" s="500"/>
      <c r="C1012" s="499"/>
      <c r="D1012" s="499"/>
      <c r="E1012" s="499"/>
      <c r="F1012" s="499"/>
    </row>
    <row r="1013" spans="1:6" ht="15">
      <c r="A1013" s="501"/>
      <c r="B1013" s="500"/>
      <c r="C1013" s="499"/>
      <c r="D1013" s="499"/>
      <c r="E1013" s="499"/>
      <c r="F1013" s="499"/>
    </row>
    <row r="1014" spans="1:6" ht="15">
      <c r="A1014" s="501"/>
      <c r="B1014" s="500"/>
      <c r="C1014" s="499"/>
      <c r="D1014" s="499"/>
      <c r="E1014" s="499"/>
      <c r="F1014" s="499"/>
    </row>
    <row r="1015" spans="1:6" ht="15">
      <c r="A1015" s="501"/>
      <c r="B1015" s="500"/>
      <c r="C1015" s="499"/>
      <c r="D1015" s="499"/>
      <c r="E1015" s="499"/>
      <c r="F1015" s="499"/>
    </row>
    <row r="1016" spans="1:6" ht="15">
      <c r="A1016" s="501"/>
      <c r="B1016" s="500"/>
      <c r="C1016" s="499"/>
      <c r="D1016" s="499"/>
      <c r="E1016" s="499"/>
      <c r="F1016" s="499"/>
    </row>
    <row r="1017" spans="1:6" ht="15">
      <c r="A1017" s="501"/>
      <c r="B1017" s="500"/>
      <c r="C1017" s="499"/>
      <c r="D1017" s="499"/>
      <c r="E1017" s="499"/>
      <c r="F1017" s="499"/>
    </row>
    <row r="1018" spans="1:6" ht="15">
      <c r="A1018" s="501"/>
      <c r="B1018" s="500"/>
      <c r="C1018" s="499"/>
      <c r="D1018" s="499"/>
      <c r="E1018" s="499"/>
      <c r="F1018" s="499"/>
    </row>
    <row r="1019" spans="1:6" ht="15">
      <c r="A1019" s="501"/>
      <c r="B1019" s="500"/>
      <c r="C1019" s="499"/>
      <c r="D1019" s="499"/>
      <c r="E1019" s="499"/>
      <c r="F1019" s="499"/>
    </row>
    <row r="1020" spans="1:6" ht="15">
      <c r="A1020" s="501"/>
      <c r="B1020" s="500"/>
      <c r="C1020" s="499"/>
      <c r="D1020" s="499"/>
      <c r="E1020" s="499"/>
      <c r="F1020" s="499"/>
    </row>
    <row r="1021" spans="1:6" ht="15">
      <c r="A1021" s="501"/>
      <c r="B1021" s="500"/>
      <c r="C1021" s="499"/>
      <c r="D1021" s="499"/>
      <c r="E1021" s="499"/>
      <c r="F1021" s="499"/>
    </row>
    <row r="1022" spans="1:6" ht="15">
      <c r="A1022" s="501"/>
      <c r="B1022" s="500"/>
      <c r="C1022" s="499"/>
      <c r="D1022" s="499"/>
      <c r="E1022" s="499"/>
      <c r="F1022" s="499"/>
    </row>
    <row r="1023" spans="1:6" ht="15">
      <c r="A1023" s="501"/>
      <c r="B1023" s="500"/>
      <c r="C1023" s="499"/>
      <c r="D1023" s="499"/>
      <c r="E1023" s="499"/>
      <c r="F1023" s="499"/>
    </row>
    <row r="1024" spans="1:6" ht="15">
      <c r="A1024" s="501"/>
      <c r="B1024" s="500"/>
      <c r="C1024" s="499"/>
      <c r="D1024" s="499"/>
      <c r="E1024" s="499"/>
      <c r="F1024" s="499"/>
    </row>
    <row r="1025" spans="1:6" ht="15">
      <c r="A1025" s="501"/>
      <c r="B1025" s="500"/>
      <c r="C1025" s="499"/>
      <c r="D1025" s="499"/>
      <c r="E1025" s="499"/>
      <c r="F1025" s="499"/>
    </row>
    <row r="1026" spans="1:6" ht="15">
      <c r="A1026" s="501"/>
      <c r="B1026" s="500"/>
      <c r="C1026" s="499"/>
      <c r="D1026" s="499"/>
      <c r="E1026" s="499"/>
      <c r="F1026" s="499"/>
    </row>
    <row r="1027" spans="1:6" ht="15">
      <c r="A1027" s="501"/>
      <c r="B1027" s="500"/>
      <c r="C1027" s="499"/>
      <c r="D1027" s="499"/>
      <c r="E1027" s="499"/>
      <c r="F1027" s="499"/>
    </row>
    <row r="1028" spans="1:6" ht="15">
      <c r="A1028" s="501"/>
      <c r="B1028" s="500"/>
      <c r="C1028" s="499"/>
      <c r="D1028" s="499"/>
      <c r="E1028" s="499"/>
      <c r="F1028" s="499"/>
    </row>
    <row r="1029" spans="1:6" ht="15">
      <c r="A1029" s="501"/>
      <c r="B1029" s="500"/>
      <c r="C1029" s="499"/>
      <c r="D1029" s="499"/>
      <c r="E1029" s="499"/>
      <c r="F1029" s="499"/>
    </row>
    <row r="1030" spans="1:6" ht="15">
      <c r="A1030" s="501"/>
      <c r="B1030" s="500"/>
      <c r="C1030" s="499"/>
      <c r="D1030" s="499"/>
      <c r="E1030" s="499"/>
      <c r="F1030" s="499"/>
    </row>
    <row r="1031" spans="1:6" ht="15">
      <c r="A1031" s="501"/>
      <c r="B1031" s="500"/>
      <c r="C1031" s="499"/>
      <c r="D1031" s="499"/>
      <c r="E1031" s="499"/>
      <c r="F1031" s="499"/>
    </row>
    <row r="1032" spans="1:6" ht="15">
      <c r="A1032" s="501"/>
      <c r="B1032" s="500"/>
      <c r="C1032" s="499"/>
      <c r="D1032" s="499"/>
      <c r="E1032" s="499"/>
      <c r="F1032" s="499"/>
    </row>
    <row r="1033" spans="1:6" ht="15">
      <c r="A1033" s="501"/>
      <c r="B1033" s="500"/>
      <c r="C1033" s="499"/>
      <c r="D1033" s="499"/>
      <c r="E1033" s="499"/>
      <c r="F1033" s="499"/>
    </row>
    <row r="1034" spans="1:6" ht="15">
      <c r="A1034" s="501"/>
      <c r="B1034" s="500"/>
      <c r="C1034" s="499"/>
      <c r="D1034" s="499"/>
      <c r="E1034" s="499"/>
      <c r="F1034" s="499"/>
    </row>
    <row r="1035" spans="1:6" ht="15">
      <c r="A1035" s="501"/>
      <c r="B1035" s="500"/>
      <c r="C1035" s="499"/>
      <c r="D1035" s="499"/>
      <c r="E1035" s="499"/>
      <c r="F1035" s="499"/>
    </row>
    <row r="1036" spans="1:6" ht="15">
      <c r="A1036" s="501"/>
      <c r="B1036" s="500"/>
      <c r="C1036" s="499"/>
      <c r="D1036" s="499"/>
      <c r="E1036" s="499"/>
      <c r="F1036" s="499"/>
    </row>
    <row r="1037" spans="1:6" ht="15">
      <c r="A1037" s="501"/>
      <c r="B1037" s="500"/>
      <c r="C1037" s="499"/>
      <c r="D1037" s="499"/>
      <c r="E1037" s="499"/>
      <c r="F1037" s="499"/>
    </row>
    <row r="1038" spans="1:6" ht="15">
      <c r="A1038" s="501"/>
      <c r="B1038" s="500"/>
      <c r="C1038" s="499"/>
      <c r="D1038" s="499"/>
      <c r="E1038" s="499"/>
      <c r="F1038" s="499"/>
    </row>
    <row r="1039" spans="1:6" ht="15">
      <c r="A1039" s="501"/>
      <c r="B1039" s="500"/>
      <c r="C1039" s="499"/>
      <c r="D1039" s="499"/>
      <c r="E1039" s="499"/>
      <c r="F1039" s="499"/>
    </row>
    <row r="1040" spans="1:6" ht="15">
      <c r="A1040" s="501"/>
      <c r="B1040" s="500"/>
      <c r="C1040" s="499"/>
      <c r="D1040" s="499"/>
      <c r="E1040" s="499"/>
      <c r="F1040" s="499"/>
    </row>
    <row r="1041" spans="1:6" ht="15">
      <c r="A1041" s="501"/>
      <c r="B1041" s="500"/>
      <c r="C1041" s="499"/>
      <c r="D1041" s="499"/>
      <c r="E1041" s="499"/>
      <c r="F1041" s="499"/>
    </row>
    <row r="1042" spans="1:6" ht="15">
      <c r="A1042" s="501"/>
      <c r="B1042" s="500"/>
      <c r="C1042" s="499"/>
      <c r="D1042" s="499"/>
      <c r="E1042" s="499"/>
      <c r="F1042" s="499"/>
    </row>
    <row r="1043" spans="1:6" ht="15">
      <c r="A1043" s="501"/>
      <c r="B1043" s="500"/>
      <c r="C1043" s="499"/>
      <c r="D1043" s="499"/>
      <c r="E1043" s="499"/>
      <c r="F1043" s="499"/>
    </row>
    <row r="1044" spans="1:6" ht="15">
      <c r="A1044" s="501"/>
      <c r="B1044" s="500"/>
      <c r="C1044" s="499"/>
      <c r="D1044" s="499"/>
      <c r="E1044" s="499"/>
      <c r="F1044" s="499"/>
    </row>
    <row r="1045" spans="1:6" ht="15">
      <c r="A1045" s="501"/>
      <c r="B1045" s="500"/>
      <c r="C1045" s="499"/>
      <c r="D1045" s="499"/>
      <c r="E1045" s="499"/>
      <c r="F1045" s="499"/>
    </row>
    <row r="1046" spans="1:6" ht="15">
      <c r="A1046" s="501"/>
      <c r="B1046" s="500"/>
      <c r="C1046" s="499"/>
      <c r="D1046" s="499"/>
      <c r="E1046" s="499"/>
      <c r="F1046" s="499"/>
    </row>
    <row r="1047" spans="1:6" ht="15">
      <c r="A1047" s="501"/>
      <c r="B1047" s="500"/>
      <c r="C1047" s="499"/>
      <c r="D1047" s="499"/>
      <c r="E1047" s="499"/>
      <c r="F1047" s="499"/>
    </row>
    <row r="1048" spans="1:6" ht="15">
      <c r="A1048" s="501"/>
      <c r="B1048" s="500"/>
      <c r="C1048" s="499"/>
      <c r="D1048" s="499"/>
      <c r="E1048" s="499"/>
      <c r="F1048" s="499"/>
    </row>
    <row r="1049" spans="1:6" ht="15">
      <c r="A1049" s="501"/>
      <c r="B1049" s="500"/>
      <c r="C1049" s="499"/>
      <c r="D1049" s="499"/>
      <c r="E1049" s="499"/>
      <c r="F1049" s="499"/>
    </row>
    <row r="1050" spans="1:6" ht="15">
      <c r="A1050" s="501"/>
      <c r="B1050" s="500"/>
      <c r="C1050" s="499"/>
      <c r="D1050" s="499"/>
      <c r="E1050" s="499"/>
      <c r="F1050" s="499"/>
    </row>
    <row r="1051" spans="1:6" ht="15">
      <c r="A1051" s="501"/>
      <c r="B1051" s="500"/>
      <c r="C1051" s="499"/>
      <c r="D1051" s="499"/>
      <c r="E1051" s="499"/>
      <c r="F1051" s="499"/>
    </row>
    <row r="1052" spans="1:6" ht="15">
      <c r="A1052" s="501"/>
      <c r="B1052" s="500"/>
      <c r="C1052" s="499"/>
      <c r="D1052" s="499"/>
      <c r="E1052" s="499"/>
      <c r="F1052" s="499"/>
    </row>
    <row r="1053" spans="1:6" ht="15">
      <c r="A1053" s="501"/>
      <c r="B1053" s="500"/>
      <c r="C1053" s="499"/>
      <c r="D1053" s="499"/>
      <c r="E1053" s="499"/>
      <c r="F1053" s="499"/>
    </row>
    <row r="1054" spans="1:6" ht="15">
      <c r="A1054" s="501"/>
      <c r="B1054" s="500"/>
      <c r="C1054" s="499"/>
      <c r="D1054" s="499"/>
      <c r="E1054" s="499"/>
      <c r="F1054" s="499"/>
    </row>
    <row r="1055" spans="1:6" ht="15">
      <c r="A1055" s="501"/>
      <c r="B1055" s="500"/>
      <c r="C1055" s="499"/>
      <c r="D1055" s="499"/>
      <c r="E1055" s="499"/>
      <c r="F1055" s="499"/>
    </row>
    <row r="1056" spans="1:6" ht="15">
      <c r="A1056" s="501"/>
      <c r="B1056" s="500"/>
      <c r="C1056" s="499"/>
      <c r="D1056" s="499"/>
      <c r="E1056" s="499"/>
      <c r="F1056" s="499"/>
    </row>
    <row r="1057" spans="1:6" ht="15">
      <c r="A1057" s="501"/>
      <c r="B1057" s="500"/>
      <c r="C1057" s="499"/>
      <c r="D1057" s="499"/>
      <c r="E1057" s="499"/>
      <c r="F1057" s="499"/>
    </row>
    <row r="1058" spans="1:6" ht="15">
      <c r="A1058" s="501"/>
      <c r="B1058" s="500"/>
      <c r="C1058" s="499"/>
      <c r="D1058" s="499"/>
      <c r="E1058" s="499"/>
      <c r="F1058" s="499"/>
    </row>
    <row r="1059" spans="1:6" ht="15">
      <c r="A1059" s="501"/>
      <c r="B1059" s="500"/>
      <c r="C1059" s="499"/>
      <c r="D1059" s="499"/>
      <c r="E1059" s="499"/>
      <c r="F1059" s="499"/>
    </row>
    <row r="1060" spans="1:6" ht="15">
      <c r="A1060" s="501"/>
      <c r="B1060" s="500"/>
      <c r="C1060" s="499"/>
      <c r="D1060" s="499"/>
      <c r="E1060" s="499"/>
      <c r="F1060" s="499"/>
    </row>
    <row r="1061" spans="1:6" ht="15">
      <c r="A1061" s="501"/>
      <c r="B1061" s="500"/>
      <c r="C1061" s="499"/>
      <c r="D1061" s="499"/>
      <c r="E1061" s="499"/>
      <c r="F1061" s="499"/>
    </row>
    <row r="1062" spans="1:6" ht="15">
      <c r="A1062" s="501"/>
      <c r="B1062" s="500"/>
      <c r="C1062" s="499"/>
      <c r="D1062" s="499"/>
      <c r="E1062" s="499"/>
      <c r="F1062" s="499"/>
    </row>
    <row r="1063" spans="1:6" ht="15">
      <c r="A1063" s="501"/>
      <c r="B1063" s="500"/>
      <c r="C1063" s="499"/>
      <c r="D1063" s="499"/>
      <c r="E1063" s="499"/>
      <c r="F1063" s="499"/>
    </row>
    <row r="1064" spans="1:6" ht="15">
      <c r="A1064" s="501"/>
      <c r="B1064" s="500"/>
      <c r="C1064" s="499"/>
      <c r="D1064" s="499"/>
      <c r="E1064" s="499"/>
      <c r="F1064" s="499"/>
    </row>
    <row r="1065" spans="1:6" ht="15">
      <c r="A1065" s="501"/>
      <c r="B1065" s="500"/>
      <c r="C1065" s="499"/>
      <c r="D1065" s="499"/>
      <c r="E1065" s="499"/>
      <c r="F1065" s="499"/>
    </row>
    <row r="1066" spans="1:6" ht="15">
      <c r="A1066" s="501"/>
      <c r="B1066" s="500"/>
      <c r="C1066" s="499"/>
      <c r="D1066" s="499"/>
      <c r="E1066" s="499"/>
      <c r="F1066" s="499"/>
    </row>
    <row r="1067" spans="1:6" ht="15">
      <c r="A1067" s="501"/>
      <c r="B1067" s="500"/>
      <c r="C1067" s="499"/>
      <c r="D1067" s="499"/>
      <c r="E1067" s="499"/>
      <c r="F1067" s="499"/>
    </row>
    <row r="1068" spans="1:6" ht="15">
      <c r="A1068" s="501"/>
      <c r="B1068" s="500"/>
      <c r="C1068" s="499"/>
      <c r="D1068" s="499"/>
      <c r="E1068" s="499"/>
      <c r="F1068" s="499"/>
    </row>
    <row r="1069" spans="1:6" ht="15">
      <c r="A1069" s="501"/>
      <c r="B1069" s="500"/>
      <c r="C1069" s="499"/>
      <c r="D1069" s="499"/>
      <c r="E1069" s="499"/>
      <c r="F1069" s="499"/>
    </row>
    <row r="1070" spans="1:6" ht="15">
      <c r="A1070" s="501"/>
      <c r="B1070" s="500"/>
      <c r="C1070" s="499"/>
      <c r="D1070" s="499"/>
      <c r="E1070" s="499"/>
      <c r="F1070" s="499"/>
    </row>
    <row r="1071" spans="1:6" ht="15">
      <c r="A1071" s="501"/>
      <c r="B1071" s="500"/>
      <c r="C1071" s="499"/>
      <c r="D1071" s="499"/>
      <c r="E1071" s="499"/>
      <c r="F1071" s="499"/>
    </row>
    <row r="1072" spans="1:6" ht="15">
      <c r="A1072" s="501"/>
      <c r="B1072" s="500"/>
      <c r="C1072" s="499"/>
      <c r="D1072" s="499"/>
      <c r="E1072" s="499"/>
      <c r="F1072" s="499"/>
    </row>
    <row r="1073" spans="1:6" ht="15">
      <c r="A1073" s="501"/>
      <c r="B1073" s="500"/>
      <c r="C1073" s="499"/>
      <c r="D1073" s="499"/>
      <c r="E1073" s="499"/>
      <c r="F1073" s="499"/>
    </row>
    <row r="1074" spans="1:6" ht="15">
      <c r="A1074" s="501"/>
      <c r="B1074" s="500"/>
      <c r="C1074" s="499"/>
      <c r="D1074" s="499"/>
      <c r="E1074" s="499"/>
      <c r="F1074" s="499"/>
    </row>
    <row r="1075" spans="1:6" ht="15">
      <c r="A1075" s="501"/>
      <c r="B1075" s="500"/>
      <c r="C1075" s="499"/>
      <c r="D1075" s="499"/>
      <c r="E1075" s="499"/>
      <c r="F1075" s="499"/>
    </row>
    <row r="1076" spans="1:6" ht="15">
      <c r="A1076" s="501"/>
      <c r="B1076" s="500"/>
      <c r="C1076" s="499"/>
      <c r="D1076" s="499"/>
      <c r="E1076" s="499"/>
      <c r="F1076" s="499"/>
    </row>
    <row r="1077" spans="1:6" ht="15">
      <c r="A1077" s="501"/>
      <c r="B1077" s="500"/>
      <c r="C1077" s="499"/>
      <c r="D1077" s="499"/>
      <c r="E1077" s="499"/>
      <c r="F1077" s="499"/>
    </row>
    <row r="1078" spans="1:6" ht="15">
      <c r="A1078" s="501"/>
      <c r="B1078" s="500"/>
      <c r="C1078" s="499"/>
      <c r="D1078" s="499"/>
      <c r="E1078" s="499"/>
      <c r="F1078" s="499"/>
    </row>
    <row r="1079" spans="1:6" ht="15">
      <c r="A1079" s="501"/>
      <c r="B1079" s="500"/>
      <c r="C1079" s="499"/>
      <c r="D1079" s="499"/>
      <c r="E1079" s="499"/>
      <c r="F1079" s="499"/>
    </row>
    <row r="1080" spans="1:6" ht="15">
      <c r="A1080" s="501"/>
      <c r="B1080" s="500"/>
      <c r="C1080" s="499"/>
      <c r="D1080" s="499"/>
      <c r="E1080" s="499"/>
      <c r="F1080" s="499"/>
    </row>
    <row r="1081" spans="1:6" ht="15">
      <c r="A1081" s="501"/>
      <c r="B1081" s="500"/>
      <c r="C1081" s="499"/>
      <c r="D1081" s="499"/>
      <c r="E1081" s="499"/>
      <c r="F1081" s="499"/>
    </row>
    <row r="1082" spans="1:6" ht="15">
      <c r="A1082" s="501"/>
      <c r="B1082" s="500"/>
      <c r="C1082" s="499"/>
      <c r="D1082" s="499"/>
      <c r="E1082" s="499"/>
      <c r="F1082" s="499"/>
    </row>
    <row r="1083" spans="1:6" ht="15">
      <c r="A1083" s="501"/>
      <c r="B1083" s="500"/>
      <c r="C1083" s="499"/>
      <c r="D1083" s="499"/>
      <c r="E1083" s="499"/>
      <c r="F1083" s="499"/>
    </row>
    <row r="1084" spans="1:6" ht="15">
      <c r="A1084" s="501"/>
      <c r="B1084" s="500"/>
      <c r="C1084" s="499"/>
      <c r="D1084" s="499"/>
      <c r="E1084" s="499"/>
      <c r="F1084" s="499"/>
    </row>
    <row r="1085" spans="1:6" ht="15">
      <c r="A1085" s="501"/>
      <c r="B1085" s="500"/>
      <c r="C1085" s="499"/>
      <c r="D1085" s="499"/>
      <c r="E1085" s="499"/>
      <c r="F1085" s="499"/>
    </row>
    <row r="1086" spans="1:6" ht="15">
      <c r="A1086" s="501"/>
      <c r="B1086" s="500"/>
      <c r="C1086" s="499"/>
      <c r="D1086" s="499"/>
      <c r="E1086" s="499"/>
      <c r="F1086" s="499"/>
    </row>
    <row r="1087" spans="1:6" ht="15">
      <c r="A1087" s="501"/>
      <c r="B1087" s="500"/>
      <c r="C1087" s="499"/>
      <c r="D1087" s="499"/>
      <c r="E1087" s="499"/>
      <c r="F1087" s="499"/>
    </row>
    <row r="1088" spans="1:6" ht="15">
      <c r="A1088" s="501"/>
      <c r="B1088" s="500"/>
      <c r="C1088" s="499"/>
      <c r="D1088" s="499"/>
      <c r="E1088" s="499"/>
      <c r="F1088" s="499"/>
    </row>
    <row r="1089" spans="1:6" ht="15">
      <c r="A1089" s="501"/>
      <c r="B1089" s="500"/>
      <c r="C1089" s="499"/>
      <c r="D1089" s="499"/>
      <c r="E1089" s="499"/>
      <c r="F1089" s="499"/>
    </row>
    <row r="1090" spans="1:6" ht="15">
      <c r="A1090" s="501"/>
      <c r="B1090" s="500"/>
      <c r="C1090" s="499"/>
      <c r="D1090" s="499"/>
      <c r="E1090" s="499"/>
      <c r="F1090" s="499"/>
    </row>
    <row r="1091" spans="1:6" ht="15">
      <c r="A1091" s="501"/>
      <c r="B1091" s="500"/>
      <c r="C1091" s="499"/>
      <c r="D1091" s="499"/>
      <c r="E1091" s="499"/>
      <c r="F1091" s="499"/>
    </row>
    <row r="1092" spans="1:6" ht="15">
      <c r="A1092" s="501"/>
      <c r="B1092" s="500"/>
      <c r="C1092" s="499"/>
      <c r="D1092" s="499"/>
      <c r="E1092" s="499"/>
      <c r="F1092" s="499"/>
    </row>
    <row r="1093" spans="1:6" ht="15">
      <c r="A1093" s="501"/>
      <c r="B1093" s="500"/>
      <c r="C1093" s="499"/>
      <c r="D1093" s="499"/>
      <c r="E1093" s="499"/>
      <c r="F1093" s="499"/>
    </row>
    <row r="1094" spans="1:6" ht="15">
      <c r="A1094" s="501"/>
      <c r="B1094" s="500"/>
      <c r="C1094" s="499"/>
      <c r="D1094" s="499"/>
      <c r="E1094" s="499"/>
      <c r="F1094" s="499"/>
    </row>
    <row r="1095" spans="1:6" ht="15">
      <c r="A1095" s="501"/>
      <c r="B1095" s="500"/>
      <c r="C1095" s="499"/>
      <c r="D1095" s="499"/>
      <c r="E1095" s="499"/>
      <c r="F1095" s="499"/>
    </row>
    <row r="1096" spans="1:6" ht="15">
      <c r="A1096" s="501"/>
      <c r="B1096" s="500"/>
      <c r="C1096" s="499"/>
      <c r="D1096" s="499"/>
      <c r="E1096" s="499"/>
      <c r="F1096" s="499"/>
    </row>
    <row r="1097" spans="1:6" ht="15">
      <c r="A1097" s="501"/>
      <c r="B1097" s="500"/>
      <c r="C1097" s="499"/>
      <c r="D1097" s="499"/>
      <c r="E1097" s="499"/>
      <c r="F1097" s="499"/>
    </row>
    <row r="1098" spans="1:6" ht="15">
      <c r="A1098" s="501"/>
      <c r="B1098" s="500"/>
      <c r="C1098" s="499"/>
      <c r="D1098" s="499"/>
      <c r="E1098" s="499"/>
      <c r="F1098" s="499"/>
    </row>
    <row r="1099" spans="1:6" ht="15">
      <c r="A1099" s="501"/>
      <c r="B1099" s="500"/>
      <c r="C1099" s="499"/>
      <c r="D1099" s="499"/>
      <c r="E1099" s="499"/>
      <c r="F1099" s="499"/>
    </row>
    <row r="1100" spans="1:6" ht="15">
      <c r="A1100" s="501"/>
      <c r="B1100" s="500"/>
      <c r="C1100" s="499"/>
      <c r="D1100" s="499"/>
      <c r="E1100" s="499"/>
      <c r="F1100" s="499"/>
    </row>
    <row r="1101" spans="1:6" ht="15">
      <c r="A1101" s="501"/>
      <c r="B1101" s="500"/>
      <c r="C1101" s="499"/>
      <c r="D1101" s="499"/>
      <c r="E1101" s="499"/>
      <c r="F1101" s="499"/>
    </row>
    <row r="1102" spans="1:6" ht="15">
      <c r="A1102" s="501"/>
      <c r="B1102" s="500"/>
      <c r="C1102" s="499"/>
      <c r="D1102" s="499"/>
      <c r="E1102" s="499"/>
      <c r="F1102" s="499"/>
    </row>
    <row r="1103" spans="1:6" ht="15">
      <c r="A1103" s="501"/>
      <c r="B1103" s="500"/>
      <c r="C1103" s="499"/>
      <c r="D1103" s="499"/>
      <c r="E1103" s="499"/>
      <c r="F1103" s="499"/>
    </row>
    <row r="1104" spans="1:6" ht="15">
      <c r="A1104" s="501"/>
      <c r="B1104" s="500"/>
      <c r="C1104" s="499"/>
      <c r="D1104" s="499"/>
      <c r="E1104" s="499"/>
      <c r="F1104" s="499"/>
    </row>
    <row r="1105" spans="1:6" ht="15">
      <c r="A1105" s="501"/>
      <c r="B1105" s="500"/>
      <c r="C1105" s="499"/>
      <c r="D1105" s="499"/>
      <c r="E1105" s="499"/>
      <c r="F1105" s="499"/>
    </row>
    <row r="1106" spans="1:6" ht="15">
      <c r="A1106" s="501"/>
      <c r="B1106" s="500"/>
      <c r="C1106" s="499"/>
      <c r="D1106" s="499"/>
      <c r="E1106" s="499"/>
      <c r="F1106" s="499"/>
    </row>
    <row r="1107" spans="1:6" ht="15">
      <c r="A1107" s="501"/>
      <c r="B1107" s="500"/>
      <c r="C1107" s="499"/>
      <c r="D1107" s="499"/>
      <c r="E1107" s="499"/>
      <c r="F1107" s="499"/>
    </row>
    <row r="1108" spans="1:6" ht="15">
      <c r="A1108" s="501"/>
      <c r="B1108" s="500"/>
      <c r="C1108" s="499"/>
      <c r="D1108" s="499"/>
      <c r="E1108" s="499"/>
      <c r="F1108" s="499"/>
    </row>
    <row r="1109" spans="1:6" ht="15">
      <c r="A1109" s="501"/>
      <c r="B1109" s="500"/>
      <c r="C1109" s="499"/>
      <c r="D1109" s="499"/>
      <c r="E1109" s="499"/>
      <c r="F1109" s="499"/>
    </row>
    <row r="1110" spans="1:6" ht="15">
      <c r="A1110" s="501"/>
      <c r="B1110" s="500"/>
      <c r="C1110" s="499"/>
      <c r="D1110" s="499"/>
      <c r="E1110" s="499"/>
      <c r="F1110" s="499"/>
    </row>
    <row r="1111" spans="1:6" ht="15">
      <c r="A1111" s="501"/>
      <c r="B1111" s="500"/>
      <c r="C1111" s="499"/>
      <c r="D1111" s="499"/>
      <c r="E1111" s="499"/>
      <c r="F1111" s="499"/>
    </row>
    <row r="1112" spans="1:6" ht="15">
      <c r="A1112" s="501"/>
      <c r="B1112" s="500"/>
      <c r="C1112" s="499"/>
      <c r="D1112" s="499"/>
      <c r="E1112" s="499"/>
      <c r="F1112" s="499"/>
    </row>
    <row r="1113" spans="1:6" ht="15">
      <c r="A1113" s="501"/>
      <c r="B1113" s="500"/>
      <c r="C1113" s="499"/>
      <c r="D1113" s="499"/>
      <c r="E1113" s="499"/>
      <c r="F1113" s="499"/>
    </row>
    <row r="1114" spans="1:6" ht="15">
      <c r="A1114" s="501"/>
      <c r="B1114" s="500"/>
      <c r="C1114" s="499"/>
      <c r="D1114" s="499"/>
      <c r="E1114" s="499"/>
      <c r="F1114" s="499"/>
    </row>
    <row r="1115" spans="1:6" ht="15">
      <c r="A1115" s="501"/>
      <c r="B1115" s="500"/>
      <c r="C1115" s="499"/>
      <c r="D1115" s="499"/>
      <c r="E1115" s="499"/>
      <c r="F1115" s="499"/>
    </row>
    <row r="1116" spans="1:6" ht="15">
      <c r="A1116" s="501"/>
      <c r="B1116" s="500"/>
      <c r="C1116" s="499"/>
      <c r="D1116" s="499"/>
      <c r="E1116" s="499"/>
      <c r="F1116" s="499"/>
    </row>
    <row r="1117" spans="1:6" ht="15">
      <c r="A1117" s="501"/>
      <c r="B1117" s="500"/>
      <c r="C1117" s="499"/>
      <c r="D1117" s="499"/>
      <c r="E1117" s="499"/>
      <c r="F1117" s="499"/>
    </row>
    <row r="1118" spans="1:6" ht="15">
      <c r="A1118" s="501"/>
      <c r="B1118" s="500"/>
      <c r="C1118" s="499"/>
      <c r="D1118" s="499"/>
      <c r="E1118" s="499"/>
      <c r="F1118" s="499"/>
    </row>
    <row r="1119" spans="1:6" ht="15">
      <c r="A1119" s="501"/>
      <c r="B1119" s="500"/>
      <c r="C1119" s="499"/>
      <c r="D1119" s="499"/>
      <c r="E1119" s="499"/>
      <c r="F1119" s="499"/>
    </row>
    <row r="1120" spans="1:6" ht="15">
      <c r="A1120" s="501"/>
      <c r="B1120" s="500"/>
      <c r="C1120" s="499"/>
      <c r="D1120" s="499"/>
      <c r="E1120" s="499"/>
      <c r="F1120" s="499"/>
    </row>
    <row r="1121" spans="1:6" ht="15">
      <c r="A1121" s="501"/>
      <c r="B1121" s="500"/>
      <c r="C1121" s="499"/>
      <c r="D1121" s="499"/>
      <c r="E1121" s="499"/>
      <c r="F1121" s="499"/>
    </row>
    <row r="1122" spans="1:6" ht="15">
      <c r="A1122" s="501"/>
      <c r="B1122" s="500"/>
      <c r="C1122" s="499"/>
      <c r="D1122" s="499"/>
      <c r="E1122" s="499"/>
      <c r="F1122" s="499"/>
    </row>
    <row r="1123" spans="1:6" ht="15">
      <c r="A1123" s="501"/>
      <c r="B1123" s="500"/>
      <c r="C1123" s="499"/>
      <c r="D1123" s="499"/>
      <c r="E1123" s="499"/>
      <c r="F1123" s="499"/>
    </row>
    <row r="1124" spans="1:6" ht="15">
      <c r="A1124" s="501"/>
      <c r="B1124" s="500"/>
      <c r="C1124" s="499"/>
      <c r="D1124" s="499"/>
      <c r="E1124" s="499"/>
      <c r="F1124" s="499"/>
    </row>
    <row r="1125" spans="1:6" ht="15">
      <c r="A1125" s="501"/>
      <c r="B1125" s="500"/>
      <c r="C1125" s="499"/>
      <c r="D1125" s="499"/>
      <c r="E1125" s="499"/>
      <c r="F1125" s="499"/>
    </row>
    <row r="1126" spans="1:6" ht="15">
      <c r="A1126" s="501"/>
      <c r="B1126" s="500"/>
      <c r="C1126" s="499"/>
      <c r="D1126" s="499"/>
      <c r="E1126" s="499"/>
      <c r="F1126" s="499"/>
    </row>
    <row r="1127" spans="1:6" ht="15">
      <c r="A1127" s="501"/>
      <c r="B1127" s="500"/>
      <c r="C1127" s="499"/>
      <c r="D1127" s="499"/>
      <c r="E1127" s="499"/>
      <c r="F1127" s="499"/>
    </row>
    <row r="1128" spans="1:6" ht="15">
      <c r="A1128" s="501"/>
      <c r="B1128" s="500"/>
      <c r="C1128" s="499"/>
      <c r="D1128" s="499"/>
      <c r="E1128" s="499"/>
      <c r="F1128" s="499"/>
    </row>
    <row r="1129" spans="1:6" ht="15">
      <c r="A1129" s="501"/>
      <c r="B1129" s="500"/>
      <c r="C1129" s="499"/>
      <c r="D1129" s="499"/>
      <c r="E1129" s="499"/>
      <c r="F1129" s="499"/>
    </row>
    <row r="1130" spans="1:6" ht="15">
      <c r="A1130" s="501"/>
      <c r="B1130" s="500"/>
      <c r="C1130" s="499"/>
      <c r="D1130" s="499"/>
      <c r="E1130" s="499"/>
      <c r="F1130" s="499"/>
    </row>
    <row r="1131" spans="1:6" ht="15">
      <c r="A1131" s="501"/>
      <c r="B1131" s="500"/>
      <c r="C1131" s="499"/>
      <c r="D1131" s="499"/>
      <c r="E1131" s="499"/>
      <c r="F1131" s="499"/>
    </row>
    <row r="1132" spans="1:6" ht="15">
      <c r="A1132" s="501"/>
      <c r="B1132" s="500"/>
      <c r="C1132" s="499"/>
      <c r="D1132" s="499"/>
      <c r="E1132" s="499"/>
      <c r="F1132" s="499"/>
    </row>
    <row r="1133" spans="1:6" ht="15">
      <c r="A1133" s="501"/>
      <c r="B1133" s="500"/>
      <c r="C1133" s="499"/>
      <c r="D1133" s="499"/>
      <c r="E1133" s="499"/>
      <c r="F1133" s="499"/>
    </row>
    <row r="1134" spans="1:6" ht="15">
      <c r="A1134" s="501"/>
      <c r="B1134" s="500"/>
      <c r="C1134" s="499"/>
      <c r="D1134" s="499"/>
      <c r="E1134" s="499"/>
      <c r="F1134" s="499"/>
    </row>
    <row r="1135" spans="1:6" ht="15">
      <c r="A1135" s="501"/>
      <c r="B1135" s="500"/>
      <c r="C1135" s="499"/>
      <c r="D1135" s="499"/>
      <c r="E1135" s="499"/>
      <c r="F1135" s="499"/>
    </row>
    <row r="1136" spans="1:6" ht="15">
      <c r="A1136" s="501"/>
      <c r="B1136" s="500"/>
      <c r="C1136" s="499"/>
      <c r="D1136" s="499"/>
      <c r="E1136" s="499"/>
      <c r="F1136" s="499"/>
    </row>
    <row r="1137" spans="1:6" ht="15">
      <c r="A1137" s="501"/>
      <c r="B1137" s="500"/>
      <c r="C1137" s="499"/>
      <c r="D1137" s="499"/>
      <c r="E1137" s="499"/>
      <c r="F1137" s="499"/>
    </row>
    <row r="1138" spans="1:6" ht="15">
      <c r="A1138" s="501"/>
      <c r="B1138" s="500"/>
      <c r="C1138" s="499"/>
      <c r="D1138" s="499"/>
      <c r="E1138" s="499"/>
      <c r="F1138" s="499"/>
    </row>
    <row r="1139" spans="1:6" ht="15">
      <c r="A1139" s="501"/>
      <c r="B1139" s="500"/>
      <c r="C1139" s="499"/>
      <c r="D1139" s="499"/>
      <c r="E1139" s="499"/>
      <c r="F1139" s="499"/>
    </row>
    <row r="1140" spans="1:6" ht="15">
      <c r="A1140" s="501"/>
      <c r="B1140" s="500"/>
      <c r="C1140" s="499"/>
      <c r="D1140" s="499"/>
      <c r="E1140" s="499"/>
      <c r="F1140" s="499"/>
    </row>
    <row r="1141" spans="1:6" ht="15">
      <c r="A1141" s="501"/>
      <c r="B1141" s="500"/>
      <c r="C1141" s="499"/>
      <c r="D1141" s="499"/>
      <c r="E1141" s="499"/>
      <c r="F1141" s="499"/>
    </row>
    <row r="1142" spans="1:6" ht="15">
      <c r="A1142" s="501"/>
      <c r="B1142" s="500"/>
      <c r="C1142" s="499"/>
      <c r="D1142" s="499"/>
      <c r="E1142" s="499"/>
      <c r="F1142" s="499"/>
    </row>
    <row r="1143" spans="1:6" ht="15">
      <c r="A1143" s="501"/>
      <c r="B1143" s="500"/>
      <c r="C1143" s="499"/>
      <c r="D1143" s="499"/>
      <c r="E1143" s="499"/>
      <c r="F1143" s="499"/>
    </row>
    <row r="1144" spans="1:6" ht="15">
      <c r="A1144" s="501"/>
      <c r="B1144" s="500"/>
      <c r="C1144" s="499"/>
      <c r="D1144" s="499"/>
      <c r="E1144" s="499"/>
      <c r="F1144" s="499"/>
    </row>
    <row r="1145" spans="1:6" ht="15">
      <c r="A1145" s="501"/>
      <c r="B1145" s="500"/>
      <c r="C1145" s="499"/>
      <c r="D1145" s="499"/>
      <c r="E1145" s="499"/>
      <c r="F1145" s="499"/>
    </row>
    <row r="1146" spans="1:6" ht="15">
      <c r="A1146" s="501"/>
      <c r="B1146" s="500"/>
      <c r="C1146" s="499"/>
      <c r="D1146" s="499"/>
      <c r="E1146" s="499"/>
      <c r="F1146" s="499"/>
    </row>
    <row r="1147" spans="1:6" ht="15">
      <c r="A1147" s="501"/>
      <c r="B1147" s="500"/>
      <c r="C1147" s="499"/>
      <c r="D1147" s="499"/>
      <c r="E1147" s="499"/>
      <c r="F1147" s="499"/>
    </row>
    <row r="1148" spans="1:6" ht="15">
      <c r="A1148" s="501"/>
      <c r="B1148" s="500"/>
      <c r="C1148" s="499"/>
      <c r="D1148" s="499"/>
      <c r="E1148" s="499"/>
      <c r="F1148" s="499"/>
    </row>
    <row r="1149" spans="1:6" ht="15">
      <c r="A1149" s="501"/>
      <c r="B1149" s="500"/>
      <c r="C1149" s="499"/>
      <c r="D1149" s="499"/>
      <c r="E1149" s="499"/>
      <c r="F1149" s="499"/>
    </row>
    <row r="1150" spans="1:6" ht="15">
      <c r="A1150" s="501"/>
      <c r="B1150" s="500"/>
      <c r="C1150" s="499"/>
      <c r="D1150" s="499"/>
      <c r="E1150" s="499"/>
      <c r="F1150" s="499"/>
    </row>
    <row r="1151" spans="1:6" ht="15">
      <c r="A1151" s="501"/>
      <c r="B1151" s="500"/>
      <c r="C1151" s="499"/>
      <c r="D1151" s="499"/>
      <c r="E1151" s="499"/>
      <c r="F1151" s="499"/>
    </row>
    <row r="1152" spans="1:6" ht="15">
      <c r="A1152" s="501"/>
      <c r="B1152" s="500"/>
      <c r="C1152" s="499"/>
      <c r="D1152" s="499"/>
      <c r="E1152" s="499"/>
      <c r="F1152" s="499"/>
    </row>
    <row r="1153" spans="1:6" ht="15">
      <c r="A1153" s="501"/>
      <c r="B1153" s="500"/>
      <c r="C1153" s="499"/>
      <c r="D1153" s="499"/>
      <c r="E1153" s="499"/>
      <c r="F1153" s="499"/>
    </row>
    <row r="1154" spans="1:6" ht="15">
      <c r="A1154" s="501"/>
      <c r="B1154" s="500"/>
      <c r="C1154" s="499"/>
      <c r="D1154" s="499"/>
      <c r="E1154" s="499"/>
      <c r="F1154" s="499"/>
    </row>
    <row r="1155" spans="1:6" ht="15">
      <c r="A1155" s="501"/>
      <c r="B1155" s="500"/>
      <c r="C1155" s="499"/>
      <c r="D1155" s="499"/>
      <c r="E1155" s="499"/>
      <c r="F1155" s="499"/>
    </row>
    <row r="1156" spans="1:6" ht="15">
      <c r="A1156" s="501"/>
      <c r="B1156" s="500"/>
      <c r="C1156" s="499"/>
      <c r="D1156" s="499"/>
      <c r="E1156" s="499"/>
      <c r="F1156" s="499"/>
    </row>
    <row r="1157" spans="1:6" ht="15">
      <c r="A1157" s="501"/>
      <c r="B1157" s="500"/>
      <c r="C1157" s="499"/>
      <c r="D1157" s="499"/>
      <c r="E1157" s="499"/>
      <c r="F1157" s="499"/>
    </row>
    <row r="1158" spans="1:6" ht="15">
      <c r="A1158" s="501"/>
      <c r="B1158" s="500"/>
      <c r="C1158" s="499"/>
      <c r="D1158" s="499"/>
      <c r="E1158" s="499"/>
      <c r="F1158" s="499"/>
    </row>
    <row r="1159" spans="1:6" ht="15">
      <c r="A1159" s="501"/>
      <c r="B1159" s="500"/>
      <c r="C1159" s="499"/>
      <c r="D1159" s="499"/>
      <c r="E1159" s="499"/>
      <c r="F1159" s="499"/>
    </row>
    <row r="1160" spans="1:6" ht="15">
      <c r="A1160" s="501"/>
      <c r="B1160" s="500"/>
      <c r="C1160" s="499"/>
      <c r="D1160" s="499"/>
      <c r="E1160" s="499"/>
      <c r="F1160" s="499"/>
    </row>
    <row r="1161" spans="1:6" ht="15">
      <c r="A1161" s="501"/>
      <c r="B1161" s="500"/>
      <c r="C1161" s="499"/>
      <c r="D1161" s="499"/>
      <c r="E1161" s="499"/>
      <c r="F1161" s="499"/>
    </row>
    <row r="1162" spans="1:6" ht="15">
      <c r="A1162" s="501"/>
      <c r="B1162" s="500"/>
      <c r="C1162" s="499"/>
      <c r="D1162" s="499"/>
      <c r="E1162" s="499"/>
      <c r="F1162" s="499"/>
    </row>
    <row r="1163" spans="1:6" ht="15">
      <c r="A1163" s="501"/>
      <c r="B1163" s="500"/>
      <c r="C1163" s="499"/>
      <c r="D1163" s="499"/>
      <c r="E1163" s="499"/>
      <c r="F1163" s="499"/>
    </row>
    <row r="1164" spans="1:6" ht="15">
      <c r="A1164" s="501"/>
      <c r="B1164" s="500"/>
      <c r="C1164" s="499"/>
      <c r="D1164" s="499"/>
      <c r="E1164" s="499"/>
      <c r="F1164" s="499"/>
    </row>
    <row r="1165" spans="1:6" ht="15">
      <c r="A1165" s="501"/>
      <c r="B1165" s="500"/>
      <c r="C1165" s="499"/>
      <c r="D1165" s="499"/>
      <c r="E1165" s="499"/>
      <c r="F1165" s="499"/>
    </row>
    <row r="1166" spans="1:6" ht="15">
      <c r="A1166" s="501"/>
      <c r="B1166" s="500"/>
      <c r="C1166" s="499"/>
      <c r="D1166" s="499"/>
      <c r="E1166" s="499"/>
      <c r="F1166" s="499"/>
    </row>
    <row r="1167" spans="1:6" ht="15">
      <c r="A1167" s="501"/>
      <c r="B1167" s="500"/>
      <c r="C1167" s="499"/>
      <c r="D1167" s="499"/>
      <c r="E1167" s="499"/>
      <c r="F1167" s="499"/>
    </row>
    <row r="1168" spans="1:6" ht="15">
      <c r="A1168" s="501"/>
      <c r="B1168" s="500"/>
      <c r="C1168" s="499"/>
      <c r="D1168" s="499"/>
      <c r="E1168" s="499"/>
      <c r="F1168" s="499"/>
    </row>
    <row r="1169" spans="1:6" ht="15">
      <c r="A1169" s="501"/>
      <c r="B1169" s="500"/>
      <c r="C1169" s="499"/>
      <c r="D1169" s="499"/>
      <c r="E1169" s="499"/>
      <c r="F1169" s="499"/>
    </row>
    <row r="1170" spans="1:6" ht="15">
      <c r="A1170" s="501"/>
      <c r="B1170" s="500"/>
      <c r="C1170" s="499"/>
      <c r="D1170" s="499"/>
      <c r="E1170" s="499"/>
      <c r="F1170" s="499"/>
    </row>
    <row r="1171" spans="1:6" ht="15">
      <c r="A1171" s="501"/>
      <c r="B1171" s="500"/>
      <c r="C1171" s="499"/>
      <c r="D1171" s="499"/>
      <c r="E1171" s="499"/>
      <c r="F1171" s="499"/>
    </row>
    <row r="1172" spans="1:6" ht="15">
      <c r="A1172" s="501"/>
      <c r="B1172" s="500"/>
      <c r="C1172" s="499"/>
      <c r="D1172" s="499"/>
      <c r="E1172" s="499"/>
      <c r="F1172" s="499"/>
    </row>
    <row r="1173" spans="1:6" ht="15">
      <c r="A1173" s="501"/>
      <c r="B1173" s="500"/>
      <c r="C1173" s="499"/>
      <c r="D1173" s="499"/>
      <c r="E1173" s="499"/>
      <c r="F1173" s="499"/>
    </row>
    <row r="1174" spans="1:6" ht="15">
      <c r="A1174" s="501"/>
      <c r="B1174" s="500"/>
      <c r="C1174" s="499"/>
      <c r="D1174" s="499"/>
      <c r="E1174" s="499"/>
      <c r="F1174" s="499"/>
    </row>
    <row r="1175" spans="1:6" ht="15">
      <c r="A1175" s="501"/>
      <c r="B1175" s="500"/>
      <c r="C1175" s="499"/>
      <c r="D1175" s="499"/>
      <c r="E1175" s="499"/>
      <c r="F1175" s="499"/>
    </row>
    <row r="1176" spans="1:6" ht="15">
      <c r="A1176" s="501"/>
      <c r="B1176" s="500"/>
      <c r="C1176" s="499"/>
      <c r="D1176" s="499"/>
      <c r="E1176" s="499"/>
      <c r="F1176" s="499"/>
    </row>
    <row r="1177" spans="1:6" ht="15">
      <c r="A1177" s="501"/>
      <c r="B1177" s="500"/>
      <c r="C1177" s="499"/>
      <c r="D1177" s="499"/>
      <c r="E1177" s="499"/>
      <c r="F1177" s="499"/>
    </row>
    <row r="1178" spans="1:6" ht="15">
      <c r="A1178" s="501"/>
      <c r="B1178" s="500"/>
      <c r="C1178" s="499"/>
      <c r="D1178" s="499"/>
      <c r="E1178" s="499"/>
      <c r="F1178" s="499"/>
    </row>
    <row r="1179" spans="1:6" ht="15">
      <c r="A1179" s="501"/>
      <c r="B1179" s="500"/>
      <c r="C1179" s="499"/>
      <c r="D1179" s="499"/>
      <c r="E1179" s="499"/>
      <c r="F1179" s="499"/>
    </row>
    <row r="1180" spans="1:6" ht="15">
      <c r="A1180" s="501"/>
      <c r="B1180" s="500"/>
      <c r="C1180" s="499"/>
      <c r="D1180" s="499"/>
      <c r="E1180" s="499"/>
      <c r="F1180" s="499"/>
    </row>
    <row r="1181" spans="1:6" ht="15">
      <c r="A1181" s="501"/>
      <c r="B1181" s="500"/>
      <c r="C1181" s="499"/>
      <c r="D1181" s="499"/>
      <c r="E1181" s="499"/>
      <c r="F1181" s="499"/>
    </row>
    <row r="1182" spans="1:6" ht="15">
      <c r="A1182" s="501"/>
      <c r="B1182" s="500"/>
      <c r="C1182" s="499"/>
      <c r="D1182" s="499"/>
      <c r="E1182" s="499"/>
      <c r="F1182" s="499"/>
    </row>
    <row r="1183" spans="1:6" ht="15">
      <c r="A1183" s="501"/>
      <c r="B1183" s="500"/>
      <c r="C1183" s="499"/>
      <c r="D1183" s="499"/>
      <c r="E1183" s="499"/>
      <c r="F1183" s="499"/>
    </row>
    <row r="1184" spans="1:6" ht="15">
      <c r="A1184" s="501"/>
      <c r="B1184" s="500"/>
      <c r="C1184" s="499"/>
      <c r="D1184" s="499"/>
      <c r="E1184" s="499"/>
      <c r="F1184" s="499"/>
    </row>
    <row r="1185" spans="1:6" ht="15">
      <c r="A1185" s="501"/>
      <c r="B1185" s="500"/>
      <c r="C1185" s="499"/>
      <c r="D1185" s="499"/>
      <c r="E1185" s="499"/>
      <c r="F1185" s="499"/>
    </row>
    <row r="1186" spans="1:6" ht="15">
      <c r="A1186" s="501"/>
      <c r="B1186" s="500"/>
      <c r="C1186" s="499"/>
      <c r="D1186" s="499"/>
      <c r="E1186" s="499"/>
      <c r="F1186" s="499"/>
    </row>
    <row r="1187" spans="1:6" ht="15">
      <c r="A1187" s="501"/>
      <c r="B1187" s="500"/>
      <c r="C1187" s="499"/>
      <c r="D1187" s="499"/>
      <c r="E1187" s="499"/>
      <c r="F1187" s="499"/>
    </row>
    <row r="1188" spans="1:6" ht="15">
      <c r="A1188" s="501"/>
      <c r="B1188" s="500"/>
      <c r="C1188" s="499"/>
      <c r="D1188" s="499"/>
      <c r="E1188" s="499"/>
      <c r="F1188" s="499"/>
    </row>
    <row r="1189" spans="1:6" ht="15">
      <c r="A1189" s="501"/>
      <c r="B1189" s="500"/>
      <c r="C1189" s="499"/>
      <c r="D1189" s="499"/>
      <c r="E1189" s="499"/>
      <c r="F1189" s="499"/>
    </row>
    <row r="1190" spans="1:6" ht="15">
      <c r="A1190" s="501"/>
      <c r="B1190" s="500"/>
      <c r="C1190" s="499"/>
      <c r="D1190" s="499"/>
      <c r="E1190" s="499"/>
      <c r="F1190" s="499"/>
    </row>
    <row r="1191" spans="1:6" ht="15">
      <c r="A1191" s="501"/>
      <c r="B1191" s="500"/>
      <c r="C1191" s="499"/>
      <c r="D1191" s="499"/>
      <c r="E1191" s="499"/>
      <c r="F1191" s="499"/>
    </row>
    <row r="1192" spans="1:6" ht="15">
      <c r="A1192" s="501"/>
      <c r="B1192" s="500"/>
      <c r="C1192" s="499"/>
      <c r="D1192" s="499"/>
      <c r="E1192" s="499"/>
      <c r="F1192" s="499"/>
    </row>
    <row r="1193" spans="1:6" ht="15">
      <c r="A1193" s="501"/>
      <c r="B1193" s="500"/>
      <c r="C1193" s="499"/>
      <c r="D1193" s="499"/>
      <c r="E1193" s="499"/>
      <c r="F1193" s="499"/>
    </row>
    <row r="1194" spans="1:6" ht="15">
      <c r="A1194" s="501"/>
      <c r="B1194" s="500"/>
      <c r="C1194" s="499"/>
      <c r="D1194" s="499"/>
      <c r="E1194" s="499"/>
      <c r="F1194" s="499"/>
    </row>
    <row r="1195" spans="1:6" ht="15">
      <c r="A1195" s="501"/>
      <c r="B1195" s="500"/>
      <c r="C1195" s="499"/>
      <c r="D1195" s="499"/>
      <c r="E1195" s="499"/>
      <c r="F1195" s="499"/>
    </row>
    <row r="1196" spans="1:6" ht="15">
      <c r="A1196" s="501"/>
      <c r="B1196" s="500"/>
      <c r="C1196" s="499"/>
      <c r="D1196" s="499"/>
      <c r="E1196" s="499"/>
      <c r="F1196" s="499"/>
    </row>
    <row r="1197" spans="1:6" ht="15">
      <c r="A1197" s="501"/>
      <c r="B1197" s="500"/>
      <c r="C1197" s="499"/>
      <c r="D1197" s="499"/>
      <c r="E1197" s="499"/>
      <c r="F1197" s="499"/>
    </row>
    <row r="1198" spans="1:6" ht="15">
      <c r="A1198" s="501"/>
      <c r="B1198" s="500"/>
      <c r="C1198" s="499"/>
      <c r="D1198" s="499"/>
      <c r="E1198" s="499"/>
      <c r="F1198" s="499"/>
    </row>
    <row r="1199" spans="1:6" ht="15">
      <c r="A1199" s="501"/>
      <c r="B1199" s="500"/>
      <c r="C1199" s="499"/>
      <c r="D1199" s="499"/>
      <c r="E1199" s="499"/>
      <c r="F1199" s="499"/>
    </row>
    <row r="1200" spans="1:6" ht="15">
      <c r="A1200" s="501"/>
      <c r="B1200" s="500"/>
      <c r="C1200" s="499"/>
      <c r="D1200" s="499"/>
      <c r="E1200" s="499"/>
      <c r="F1200" s="499"/>
    </row>
    <row r="1201" spans="1:6" ht="15">
      <c r="A1201" s="501"/>
      <c r="B1201" s="500"/>
      <c r="C1201" s="499"/>
      <c r="D1201" s="499"/>
      <c r="E1201" s="499"/>
      <c r="F1201" s="499"/>
    </row>
    <row r="1202" spans="1:6" ht="15">
      <c r="A1202" s="501"/>
      <c r="B1202" s="500"/>
      <c r="C1202" s="499"/>
      <c r="D1202" s="499"/>
      <c r="E1202" s="499"/>
      <c r="F1202" s="499"/>
    </row>
    <row r="1203" spans="1:6" ht="15">
      <c r="A1203" s="501"/>
      <c r="B1203" s="500"/>
      <c r="C1203" s="499"/>
      <c r="D1203" s="499"/>
      <c r="E1203" s="499"/>
      <c r="F1203" s="499"/>
    </row>
    <row r="1204" spans="1:6" ht="15">
      <c r="A1204" s="501"/>
      <c r="B1204" s="500"/>
      <c r="C1204" s="499"/>
      <c r="D1204" s="499"/>
      <c r="E1204" s="499"/>
      <c r="F1204" s="499"/>
    </row>
    <row r="1205" spans="1:6" ht="15">
      <c r="A1205" s="501"/>
      <c r="B1205" s="500"/>
      <c r="C1205" s="499"/>
      <c r="D1205" s="499"/>
      <c r="E1205" s="499"/>
      <c r="F1205" s="499"/>
    </row>
    <row r="1206" spans="1:6" ht="15">
      <c r="A1206" s="501"/>
      <c r="B1206" s="500"/>
      <c r="C1206" s="499"/>
      <c r="D1206" s="499"/>
      <c r="E1206" s="499"/>
      <c r="F1206" s="499"/>
    </row>
    <row r="1207" spans="1:6" ht="15">
      <c r="A1207" s="501"/>
      <c r="B1207" s="500"/>
      <c r="C1207" s="499"/>
      <c r="D1207" s="499"/>
      <c r="E1207" s="499"/>
      <c r="F1207" s="499"/>
    </row>
    <row r="1208" spans="1:6" ht="15">
      <c r="A1208" s="501"/>
      <c r="B1208" s="500"/>
      <c r="C1208" s="499"/>
      <c r="D1208" s="499"/>
      <c r="E1208" s="499"/>
      <c r="F1208" s="499"/>
    </row>
    <row r="1209" spans="1:6" ht="15">
      <c r="A1209" s="501"/>
      <c r="B1209" s="500"/>
      <c r="C1209" s="499"/>
      <c r="D1209" s="499"/>
      <c r="E1209" s="499"/>
      <c r="F1209" s="499"/>
    </row>
    <row r="1210" spans="1:6" ht="15">
      <c r="A1210" s="501"/>
      <c r="B1210" s="500"/>
      <c r="C1210" s="499"/>
      <c r="D1210" s="499"/>
      <c r="E1210" s="499"/>
      <c r="F1210" s="499"/>
    </row>
    <row r="1211" spans="1:6" ht="15">
      <c r="A1211" s="501"/>
      <c r="B1211" s="500"/>
      <c r="C1211" s="499"/>
      <c r="D1211" s="499"/>
      <c r="E1211" s="499"/>
      <c r="F1211" s="499"/>
    </row>
    <row r="1212" spans="1:6" ht="15">
      <c r="A1212" s="501"/>
      <c r="B1212" s="500"/>
      <c r="C1212" s="499"/>
      <c r="D1212" s="499"/>
      <c r="E1212" s="499"/>
      <c r="F1212" s="499"/>
    </row>
    <row r="1213" spans="1:6" ht="15">
      <c r="A1213" s="501"/>
      <c r="B1213" s="500"/>
      <c r="C1213" s="499"/>
      <c r="D1213" s="499"/>
      <c r="E1213" s="499"/>
      <c r="F1213" s="499"/>
    </row>
    <row r="1214" spans="1:6" ht="15">
      <c r="A1214" s="501"/>
      <c r="B1214" s="500"/>
      <c r="C1214" s="499"/>
      <c r="D1214" s="499"/>
      <c r="E1214" s="499"/>
      <c r="F1214" s="499"/>
    </row>
    <row r="1215" spans="1:6" ht="15">
      <c r="A1215" s="501"/>
      <c r="B1215" s="500"/>
      <c r="C1215" s="499"/>
      <c r="D1215" s="499"/>
      <c r="E1215" s="499"/>
      <c r="F1215" s="499"/>
    </row>
    <row r="1216" spans="1:6" ht="15">
      <c r="A1216" s="501"/>
      <c r="B1216" s="500"/>
      <c r="C1216" s="499"/>
      <c r="D1216" s="499"/>
      <c r="E1216" s="499"/>
      <c r="F1216" s="499"/>
    </row>
    <row r="1217" spans="1:6" ht="15">
      <c r="A1217" s="501"/>
      <c r="B1217" s="500"/>
      <c r="C1217" s="499"/>
      <c r="D1217" s="499"/>
      <c r="E1217" s="499"/>
      <c r="F1217" s="499"/>
    </row>
    <row r="1218" spans="1:6" ht="15">
      <c r="A1218" s="501"/>
      <c r="B1218" s="500"/>
      <c r="C1218" s="499"/>
      <c r="D1218" s="499"/>
      <c r="E1218" s="499"/>
      <c r="F1218" s="499"/>
    </row>
    <row r="1219" spans="1:6" ht="15">
      <c r="A1219" s="501"/>
      <c r="B1219" s="500"/>
      <c r="C1219" s="499"/>
      <c r="D1219" s="499"/>
      <c r="E1219" s="499"/>
      <c r="F1219" s="499"/>
    </row>
    <row r="1220" spans="1:6" ht="15">
      <c r="A1220" s="501"/>
      <c r="B1220" s="500"/>
      <c r="C1220" s="499"/>
      <c r="D1220" s="499"/>
      <c r="E1220" s="499"/>
      <c r="F1220" s="499"/>
    </row>
    <row r="1221" spans="1:6" ht="15">
      <c r="A1221" s="501"/>
      <c r="B1221" s="500"/>
      <c r="C1221" s="499"/>
      <c r="D1221" s="499"/>
      <c r="E1221" s="499"/>
      <c r="F1221" s="499"/>
    </row>
    <row r="1222" spans="1:6" ht="15">
      <c r="A1222" s="501"/>
      <c r="B1222" s="500"/>
      <c r="C1222" s="499"/>
      <c r="D1222" s="499"/>
      <c r="E1222" s="499"/>
      <c r="F1222" s="499"/>
    </row>
    <row r="1223" spans="1:6" ht="15">
      <c r="A1223" s="501"/>
      <c r="B1223" s="500"/>
      <c r="C1223" s="499"/>
      <c r="D1223" s="499"/>
      <c r="E1223" s="499"/>
      <c r="F1223" s="499"/>
    </row>
    <row r="1224" spans="1:6" ht="15">
      <c r="A1224" s="501"/>
      <c r="B1224" s="500"/>
      <c r="C1224" s="499"/>
      <c r="D1224" s="499"/>
      <c r="E1224" s="499"/>
      <c r="F1224" s="499"/>
    </row>
    <row r="1225" spans="1:6" ht="15">
      <c r="A1225" s="501"/>
      <c r="B1225" s="500"/>
      <c r="C1225" s="499"/>
      <c r="D1225" s="499"/>
      <c r="E1225" s="499"/>
      <c r="F1225" s="499"/>
    </row>
    <row r="1226" spans="1:6" ht="15">
      <c r="A1226" s="501"/>
      <c r="B1226" s="500"/>
      <c r="C1226" s="499"/>
      <c r="D1226" s="499"/>
      <c r="E1226" s="499"/>
      <c r="F1226" s="499"/>
    </row>
    <row r="1227" spans="1:6" ht="15">
      <c r="A1227" s="501"/>
      <c r="B1227" s="500"/>
      <c r="C1227" s="499"/>
      <c r="D1227" s="499"/>
      <c r="E1227" s="499"/>
      <c r="F1227" s="499"/>
    </row>
    <row r="1228" spans="1:6" ht="15">
      <c r="A1228" s="501"/>
      <c r="B1228" s="500"/>
      <c r="C1228" s="499"/>
      <c r="D1228" s="499"/>
      <c r="E1228" s="499"/>
      <c r="F1228" s="499"/>
    </row>
    <row r="1229" spans="1:6" ht="15">
      <c r="A1229" s="501"/>
      <c r="B1229" s="500"/>
      <c r="C1229" s="499"/>
      <c r="D1229" s="499"/>
      <c r="E1229" s="499"/>
      <c r="F1229" s="499"/>
    </row>
    <row r="1230" spans="1:6" ht="15">
      <c r="A1230" s="501"/>
      <c r="B1230" s="500"/>
      <c r="C1230" s="499"/>
      <c r="D1230" s="499"/>
      <c r="E1230" s="499"/>
      <c r="F1230" s="499"/>
    </row>
    <row r="1231" spans="1:6" ht="15">
      <c r="A1231" s="501"/>
      <c r="B1231" s="500"/>
      <c r="C1231" s="499"/>
      <c r="D1231" s="499"/>
      <c r="E1231" s="499"/>
      <c r="F1231" s="499"/>
    </row>
    <row r="1232" spans="1:6" ht="15">
      <c r="A1232" s="501"/>
      <c r="B1232" s="500"/>
      <c r="C1232" s="499"/>
      <c r="D1232" s="499"/>
      <c r="E1232" s="499"/>
      <c r="F1232" s="499"/>
    </row>
    <row r="1233" spans="1:6" ht="15">
      <c r="A1233" s="501"/>
      <c r="B1233" s="500"/>
      <c r="C1233" s="499"/>
      <c r="D1233" s="499"/>
      <c r="E1233" s="499"/>
      <c r="F1233" s="499"/>
    </row>
    <row r="1234" spans="1:6" ht="15">
      <c r="A1234" s="501"/>
      <c r="B1234" s="500"/>
      <c r="C1234" s="499"/>
      <c r="D1234" s="499"/>
      <c r="E1234" s="499"/>
      <c r="F1234" s="499"/>
    </row>
    <row r="1235" spans="1:6" ht="15">
      <c r="A1235" s="501"/>
      <c r="B1235" s="500"/>
      <c r="C1235" s="499"/>
      <c r="D1235" s="499"/>
      <c r="E1235" s="499"/>
      <c r="F1235" s="499"/>
    </row>
    <row r="1236" spans="1:6" ht="15">
      <c r="A1236" s="501"/>
      <c r="B1236" s="500"/>
      <c r="C1236" s="499"/>
      <c r="D1236" s="499"/>
      <c r="E1236" s="499"/>
      <c r="F1236" s="499"/>
    </row>
    <row r="1237" spans="1:6" ht="15">
      <c r="A1237" s="501"/>
      <c r="B1237" s="500"/>
      <c r="C1237" s="499"/>
      <c r="D1237" s="499"/>
      <c r="E1237" s="499"/>
      <c r="F1237" s="499"/>
    </row>
    <row r="1238" spans="1:6" ht="15">
      <c r="A1238" s="501"/>
      <c r="B1238" s="500"/>
      <c r="C1238" s="499"/>
      <c r="D1238" s="499"/>
      <c r="E1238" s="499"/>
      <c r="F1238" s="499"/>
    </row>
    <row r="1239" spans="1:6" ht="15">
      <c r="A1239" s="501"/>
      <c r="B1239" s="500"/>
      <c r="C1239" s="499"/>
      <c r="D1239" s="499"/>
      <c r="E1239" s="499"/>
      <c r="F1239" s="499"/>
    </row>
    <row r="1240" spans="1:6" ht="15">
      <c r="A1240" s="501"/>
      <c r="B1240" s="500"/>
      <c r="C1240" s="499"/>
      <c r="D1240" s="499"/>
      <c r="E1240" s="499"/>
      <c r="F1240" s="499"/>
    </row>
    <row r="1241" spans="1:6" ht="15">
      <c r="A1241" s="501"/>
      <c r="B1241" s="500"/>
      <c r="C1241" s="499"/>
      <c r="D1241" s="499"/>
      <c r="E1241" s="499"/>
      <c r="F1241" s="499"/>
    </row>
    <row r="1242" spans="1:6" ht="15">
      <c r="A1242" s="501"/>
      <c r="B1242" s="500"/>
      <c r="C1242" s="499"/>
      <c r="D1242" s="499"/>
      <c r="E1242" s="499"/>
      <c r="F1242" s="499"/>
    </row>
    <row r="1243" spans="1:6" ht="15">
      <c r="A1243" s="501"/>
      <c r="B1243" s="500"/>
      <c r="C1243" s="499"/>
      <c r="D1243" s="499"/>
      <c r="E1243" s="499"/>
      <c r="F1243" s="499"/>
    </row>
    <row r="1244" spans="1:6" ht="15">
      <c r="A1244" s="501"/>
      <c r="B1244" s="500"/>
      <c r="C1244" s="499"/>
      <c r="D1244" s="499"/>
      <c r="E1244" s="499"/>
      <c r="F1244" s="499"/>
    </row>
    <row r="1245" spans="1:6" ht="15">
      <c r="A1245" s="501"/>
      <c r="B1245" s="500"/>
      <c r="C1245" s="499"/>
      <c r="D1245" s="499"/>
      <c r="E1245" s="499"/>
      <c r="F1245" s="499"/>
    </row>
    <row r="1246" spans="1:6" ht="15">
      <c r="A1246" s="501"/>
      <c r="B1246" s="500"/>
      <c r="C1246" s="499"/>
      <c r="D1246" s="499"/>
      <c r="E1246" s="499"/>
      <c r="F1246" s="499"/>
    </row>
    <row r="1247" spans="1:6" ht="15">
      <c r="A1247" s="501"/>
      <c r="B1247" s="500"/>
      <c r="C1247" s="499"/>
      <c r="D1247" s="499"/>
      <c r="E1247" s="499"/>
      <c r="F1247" s="499"/>
    </row>
    <row r="1248" spans="1:6" ht="15">
      <c r="A1248" s="501"/>
      <c r="B1248" s="500"/>
      <c r="C1248" s="499"/>
      <c r="D1248" s="499"/>
      <c r="E1248" s="499"/>
      <c r="F1248" s="499"/>
    </row>
    <row r="1249" spans="1:6" ht="15">
      <c r="A1249" s="501"/>
      <c r="B1249" s="500"/>
      <c r="C1249" s="499"/>
      <c r="D1249" s="499"/>
      <c r="E1249" s="499"/>
      <c r="F1249" s="499"/>
    </row>
    <row r="1250" spans="1:6" ht="15">
      <c r="A1250" s="501"/>
      <c r="B1250" s="500"/>
      <c r="C1250" s="499"/>
      <c r="D1250" s="499"/>
      <c r="E1250" s="499"/>
      <c r="F1250" s="499"/>
    </row>
    <row r="1251" spans="1:6" ht="15">
      <c r="A1251" s="501"/>
      <c r="B1251" s="500"/>
      <c r="C1251" s="499"/>
      <c r="D1251" s="499"/>
      <c r="E1251" s="499"/>
      <c r="F1251" s="499"/>
    </row>
    <row r="1252" spans="1:6" ht="15">
      <c r="A1252" s="501"/>
      <c r="B1252" s="500"/>
      <c r="C1252" s="499"/>
      <c r="D1252" s="499"/>
      <c r="E1252" s="499"/>
      <c r="F1252" s="499"/>
    </row>
    <row r="1253" spans="1:6" ht="15">
      <c r="A1253" s="501"/>
      <c r="B1253" s="500"/>
      <c r="C1253" s="499"/>
      <c r="D1253" s="499"/>
      <c r="E1253" s="499"/>
      <c r="F1253" s="499"/>
    </row>
    <row r="1254" spans="1:6" ht="15">
      <c r="A1254" s="501"/>
      <c r="B1254" s="500"/>
      <c r="C1254" s="499"/>
      <c r="D1254" s="499"/>
      <c r="E1254" s="499"/>
      <c r="F1254" s="499"/>
    </row>
    <row r="1255" spans="1:6" ht="15">
      <c r="A1255" s="501"/>
      <c r="B1255" s="500"/>
      <c r="C1255" s="499"/>
      <c r="D1255" s="499"/>
      <c r="E1255" s="499"/>
      <c r="F1255" s="499"/>
    </row>
    <row r="1256" spans="1:6" ht="15">
      <c r="A1256" s="501"/>
      <c r="B1256" s="500"/>
      <c r="C1256" s="499"/>
      <c r="D1256" s="499"/>
      <c r="E1256" s="499"/>
      <c r="F1256" s="499"/>
    </row>
    <row r="1257" spans="1:6" ht="15">
      <c r="A1257" s="501"/>
      <c r="B1257" s="500"/>
      <c r="C1257" s="499"/>
      <c r="D1257" s="499"/>
      <c r="E1257" s="499"/>
      <c r="F1257" s="499"/>
    </row>
    <row r="1258" spans="1:6" ht="15">
      <c r="A1258" s="501"/>
      <c r="B1258" s="500"/>
      <c r="C1258" s="499"/>
      <c r="D1258" s="499"/>
      <c r="E1258" s="499"/>
      <c r="F1258" s="499"/>
    </row>
    <row r="1259" spans="1:6" ht="15">
      <c r="A1259" s="501"/>
      <c r="B1259" s="500"/>
      <c r="C1259" s="499"/>
      <c r="D1259" s="499"/>
      <c r="E1259" s="499"/>
      <c r="F1259" s="499"/>
    </row>
    <row r="1260" spans="1:6" ht="15">
      <c r="A1260" s="501"/>
      <c r="B1260" s="500"/>
      <c r="C1260" s="499"/>
      <c r="D1260" s="499"/>
      <c r="E1260" s="499"/>
      <c r="F1260" s="499"/>
    </row>
    <row r="1261" spans="1:6" ht="15">
      <c r="A1261" s="501"/>
      <c r="B1261" s="500"/>
      <c r="C1261" s="499"/>
      <c r="D1261" s="499"/>
      <c r="E1261" s="499"/>
      <c r="F1261" s="499"/>
    </row>
    <row r="1262" spans="1:6" ht="15">
      <c r="A1262" s="501"/>
      <c r="B1262" s="500"/>
      <c r="C1262" s="499"/>
      <c r="D1262" s="499"/>
      <c r="E1262" s="499"/>
      <c r="F1262" s="499"/>
    </row>
    <row r="1263" spans="1:6" ht="15">
      <c r="A1263" s="501"/>
      <c r="B1263" s="500"/>
      <c r="C1263" s="499"/>
      <c r="D1263" s="499"/>
      <c r="E1263" s="499"/>
      <c r="F1263" s="499"/>
    </row>
    <row r="1264" spans="1:6" ht="15">
      <c r="A1264" s="501"/>
      <c r="B1264" s="500"/>
      <c r="C1264" s="499"/>
      <c r="D1264" s="499"/>
      <c r="E1264" s="499"/>
      <c r="F1264" s="499"/>
    </row>
    <row r="1265" spans="1:6" ht="15">
      <c r="A1265" s="501"/>
      <c r="B1265" s="500"/>
      <c r="C1265" s="499"/>
      <c r="D1265" s="499"/>
      <c r="E1265" s="499"/>
      <c r="F1265" s="499"/>
    </row>
    <row r="1266" spans="1:6" ht="15">
      <c r="A1266" s="501"/>
      <c r="B1266" s="500"/>
      <c r="C1266" s="499"/>
      <c r="D1266" s="499"/>
      <c r="E1266" s="499"/>
      <c r="F1266" s="499"/>
    </row>
    <row r="1267" spans="1:6" ht="15">
      <c r="A1267" s="501"/>
      <c r="B1267" s="500"/>
      <c r="C1267" s="499"/>
      <c r="D1267" s="499"/>
      <c r="E1267" s="499"/>
      <c r="F1267" s="499"/>
    </row>
    <row r="1268" spans="1:6" ht="15">
      <c r="A1268" s="501"/>
      <c r="B1268" s="500"/>
      <c r="C1268" s="499"/>
      <c r="D1268" s="499"/>
      <c r="E1268" s="499"/>
      <c r="F1268" s="499"/>
    </row>
    <row r="1269" spans="1:6" ht="15">
      <c r="A1269" s="501"/>
      <c r="B1269" s="500"/>
      <c r="C1269" s="499"/>
      <c r="D1269" s="499"/>
      <c r="E1269" s="499"/>
      <c r="F1269" s="499"/>
    </row>
    <row r="1270" spans="1:6" ht="15">
      <c r="A1270" s="501"/>
      <c r="B1270" s="500"/>
      <c r="C1270" s="499"/>
      <c r="D1270" s="499"/>
      <c r="E1270" s="499"/>
      <c r="F1270" s="499"/>
    </row>
    <row r="1271" spans="1:6" ht="15">
      <c r="A1271" s="501"/>
      <c r="B1271" s="500"/>
      <c r="C1271" s="499"/>
      <c r="D1271" s="499"/>
      <c r="E1271" s="499"/>
      <c r="F1271" s="499"/>
    </row>
    <row r="1272" spans="1:6" ht="15">
      <c r="A1272" s="501"/>
      <c r="B1272" s="500"/>
      <c r="C1272" s="499"/>
      <c r="D1272" s="499"/>
      <c r="E1272" s="499"/>
      <c r="F1272" s="499"/>
    </row>
    <row r="1273" spans="1:6" ht="15">
      <c r="A1273" s="501"/>
      <c r="B1273" s="500"/>
      <c r="C1273" s="499"/>
      <c r="D1273" s="499"/>
      <c r="E1273" s="499"/>
      <c r="F1273" s="499"/>
    </row>
    <row r="1274" spans="1:6" ht="15">
      <c r="A1274" s="501"/>
      <c r="B1274" s="500"/>
      <c r="C1274" s="499"/>
      <c r="D1274" s="499"/>
      <c r="E1274" s="499"/>
      <c r="F1274" s="499"/>
    </row>
    <row r="1275" spans="1:6" ht="15">
      <c r="A1275" s="501"/>
      <c r="B1275" s="500"/>
      <c r="C1275" s="499"/>
      <c r="D1275" s="499"/>
      <c r="E1275" s="499"/>
      <c r="F1275" s="499"/>
    </row>
    <row r="1276" spans="1:6" ht="15">
      <c r="A1276" s="501"/>
      <c r="B1276" s="500"/>
      <c r="C1276" s="499"/>
      <c r="D1276" s="499"/>
      <c r="E1276" s="499"/>
      <c r="F1276" s="499"/>
    </row>
    <row r="1277" spans="1:6" ht="15">
      <c r="A1277" s="501"/>
      <c r="B1277" s="500"/>
      <c r="C1277" s="499"/>
      <c r="D1277" s="499"/>
      <c r="E1277" s="499"/>
      <c r="F1277" s="499"/>
    </row>
    <row r="1278" spans="1:6" ht="15">
      <c r="A1278" s="501"/>
      <c r="B1278" s="500"/>
      <c r="C1278" s="499"/>
      <c r="D1278" s="499"/>
      <c r="E1278" s="499"/>
      <c r="F1278" s="499"/>
    </row>
    <row r="1279" spans="1:6" ht="15">
      <c r="A1279" s="501"/>
      <c r="B1279" s="500"/>
      <c r="C1279" s="499"/>
      <c r="D1279" s="499"/>
      <c r="E1279" s="499"/>
      <c r="F1279" s="499"/>
    </row>
    <row r="1280" spans="1:6" ht="15">
      <c r="A1280" s="501"/>
      <c r="B1280" s="500"/>
      <c r="C1280" s="499"/>
      <c r="D1280" s="499"/>
      <c r="E1280" s="499"/>
      <c r="F1280" s="499"/>
    </row>
    <row r="1281" spans="1:6" ht="15">
      <c r="A1281" s="501"/>
      <c r="B1281" s="500"/>
      <c r="C1281" s="499"/>
      <c r="D1281" s="499"/>
      <c r="E1281" s="499"/>
      <c r="F1281" s="499"/>
    </row>
    <row r="1282" spans="1:6" ht="15">
      <c r="A1282" s="501"/>
      <c r="B1282" s="500"/>
      <c r="C1282" s="499"/>
      <c r="D1282" s="499"/>
      <c r="E1282" s="499"/>
      <c r="F1282" s="499"/>
    </row>
    <row r="1283" spans="1:6" ht="15">
      <c r="A1283" s="501"/>
      <c r="B1283" s="500"/>
      <c r="C1283" s="499"/>
      <c r="D1283" s="499"/>
      <c r="E1283" s="499"/>
      <c r="F1283" s="499"/>
    </row>
    <row r="1284" spans="1:6" ht="15">
      <c r="A1284" s="501"/>
      <c r="B1284" s="500"/>
      <c r="C1284" s="499"/>
      <c r="D1284" s="499"/>
      <c r="E1284" s="499"/>
      <c r="F1284" s="499"/>
    </row>
    <row r="1285" spans="1:6" ht="15">
      <c r="A1285" s="501"/>
      <c r="B1285" s="500"/>
      <c r="C1285" s="499"/>
      <c r="D1285" s="499"/>
      <c r="E1285" s="499"/>
      <c r="F1285" s="499"/>
    </row>
    <row r="1286" spans="1:6" ht="15">
      <c r="A1286" s="501"/>
      <c r="B1286" s="500"/>
      <c r="C1286" s="499"/>
      <c r="D1286" s="499"/>
      <c r="E1286" s="499"/>
      <c r="F1286" s="499"/>
    </row>
    <row r="1287" spans="1:6" ht="15">
      <c r="A1287" s="501"/>
      <c r="B1287" s="500"/>
      <c r="C1287" s="499"/>
      <c r="D1287" s="499"/>
      <c r="E1287" s="499"/>
      <c r="F1287" s="499"/>
    </row>
    <row r="1288" spans="1:6" ht="15">
      <c r="A1288" s="501"/>
      <c r="B1288" s="500"/>
      <c r="C1288" s="499"/>
      <c r="D1288" s="499"/>
      <c r="E1288" s="499"/>
      <c r="F1288" s="499"/>
    </row>
    <row r="1289" spans="1:6" ht="15">
      <c r="A1289" s="501"/>
      <c r="B1289" s="500"/>
      <c r="C1289" s="499"/>
      <c r="D1289" s="499"/>
      <c r="E1289" s="499"/>
      <c r="F1289" s="499"/>
    </row>
    <row r="1290" spans="1:6" ht="15">
      <c r="A1290" s="501"/>
      <c r="B1290" s="500"/>
      <c r="C1290" s="499"/>
      <c r="D1290" s="499"/>
      <c r="E1290" s="499"/>
      <c r="F1290" s="499"/>
    </row>
    <row r="1291" spans="1:6" ht="15">
      <c r="A1291" s="501"/>
      <c r="B1291" s="500"/>
      <c r="C1291" s="499"/>
      <c r="D1291" s="499"/>
      <c r="E1291" s="499"/>
      <c r="F1291" s="499"/>
    </row>
    <row r="1292" spans="1:6" ht="15">
      <c r="A1292" s="501"/>
      <c r="B1292" s="500"/>
      <c r="C1292" s="499"/>
      <c r="D1292" s="499"/>
      <c r="E1292" s="499"/>
      <c r="F1292" s="499"/>
    </row>
    <row r="1293" spans="1:6" ht="15">
      <c r="A1293" s="501"/>
      <c r="B1293" s="500"/>
      <c r="C1293" s="499"/>
      <c r="D1293" s="499"/>
      <c r="E1293" s="499"/>
      <c r="F1293" s="499"/>
    </row>
    <row r="1294" spans="1:6" ht="15">
      <c r="A1294" s="501"/>
      <c r="B1294" s="500"/>
      <c r="C1294" s="499"/>
      <c r="D1294" s="499"/>
      <c r="E1294" s="499"/>
      <c r="F1294" s="499"/>
    </row>
  </sheetData>
  <sheetProtection/>
  <printOptions/>
  <pageMargins left="0.4" right="0.17" top="0.61" bottom="0.68" header="0.3" footer="0.3"/>
  <pageSetup horizontalDpi="600" verticalDpi="600" orientation="portrait" paperSize="9" scale="85" r:id="rId3"/>
  <rowBreaks count="1" manualBreakCount="1">
    <brk id="54" max="255" man="1"/>
  </rowBreaks>
  <colBreaks count="1" manualBreakCount="1">
    <brk id="6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08"/>
  <sheetViews>
    <sheetView zoomScalePageLayoutView="0" workbookViewId="0" topLeftCell="A4">
      <selection activeCell="E25" sqref="E25"/>
    </sheetView>
  </sheetViews>
  <sheetFormatPr defaultColWidth="9.00390625" defaultRowHeight="12.75"/>
  <cols>
    <col min="1" max="1" width="5.375" style="645" customWidth="1"/>
    <col min="2" max="2" width="36.375" style="645" customWidth="1"/>
    <col min="3" max="3" width="44.375" style="645" customWidth="1"/>
    <col min="4" max="4" width="14.625" style="645" customWidth="1"/>
    <col min="5" max="16384" width="9.125" style="645" customWidth="1"/>
  </cols>
  <sheetData>
    <row r="1" ht="15.75" customHeight="1"/>
    <row r="2" spans="1:4" ht="15.75" customHeight="1">
      <c r="A2" s="432" t="s">
        <v>779</v>
      </c>
      <c r="B2" s="432"/>
      <c r="C2" s="432"/>
      <c r="D2" s="1365" t="s">
        <v>241</v>
      </c>
    </row>
    <row r="3" ht="15.75" customHeight="1">
      <c r="D3" s="1364"/>
    </row>
    <row r="4" spans="1:4" ht="15.75" customHeight="1">
      <c r="A4" s="1413" t="s">
        <v>40</v>
      </c>
      <c r="B4" s="1413"/>
      <c r="C4" s="1413"/>
      <c r="D4" s="1362" t="s">
        <v>809</v>
      </c>
    </row>
    <row r="5" spans="1:4" ht="15.75" customHeight="1" thickBot="1">
      <c r="A5" s="646"/>
      <c r="B5" s="646"/>
      <c r="C5" s="646"/>
      <c r="D5" s="1362" t="s">
        <v>371</v>
      </c>
    </row>
    <row r="6" spans="1:4" s="649" customFormat="1" ht="39.75" customHeight="1" thickBot="1">
      <c r="A6" s="692" t="s">
        <v>37</v>
      </c>
      <c r="B6" s="686" t="s">
        <v>1324</v>
      </c>
      <c r="C6" s="696" t="s">
        <v>36</v>
      </c>
      <c r="D6" s="692" t="s">
        <v>1322</v>
      </c>
    </row>
    <row r="7" spans="1:4" s="649" customFormat="1" ht="15.75" customHeight="1">
      <c r="A7" s="693">
        <v>1</v>
      </c>
      <c r="B7" s="687" t="s">
        <v>643</v>
      </c>
      <c r="C7" s="697" t="s">
        <v>35</v>
      </c>
      <c r="D7" s="702">
        <v>230200</v>
      </c>
    </row>
    <row r="8" spans="1:4" s="649" customFormat="1" ht="15.75" customHeight="1">
      <c r="A8" s="663">
        <v>2</v>
      </c>
      <c r="B8" s="688" t="s">
        <v>34</v>
      </c>
      <c r="C8" s="667" t="s">
        <v>33</v>
      </c>
      <c r="D8" s="670">
        <v>26500</v>
      </c>
    </row>
    <row r="9" spans="1:4" s="649" customFormat="1" ht="15.75" customHeight="1">
      <c r="A9" s="663">
        <v>3</v>
      </c>
      <c r="B9" s="688" t="s">
        <v>32</v>
      </c>
      <c r="C9" s="667" t="s">
        <v>31</v>
      </c>
      <c r="D9" s="670">
        <v>5000</v>
      </c>
    </row>
    <row r="10" spans="1:4" s="649" customFormat="1" ht="15.75" customHeight="1">
      <c r="A10" s="694">
        <v>4</v>
      </c>
      <c r="B10" s="689" t="s">
        <v>30</v>
      </c>
      <c r="C10" s="698" t="s">
        <v>29</v>
      </c>
      <c r="D10" s="703">
        <v>5000</v>
      </c>
    </row>
    <row r="11" spans="1:4" s="649" customFormat="1" ht="15.75" customHeight="1">
      <c r="A11" s="694">
        <v>5</v>
      </c>
      <c r="B11" s="689" t="s">
        <v>28</v>
      </c>
      <c r="C11" s="698" t="s">
        <v>27</v>
      </c>
      <c r="D11" s="703">
        <v>18000</v>
      </c>
    </row>
    <row r="12" spans="1:4" s="649" customFormat="1" ht="15.75" customHeight="1">
      <c r="A12" s="663">
        <v>6</v>
      </c>
      <c r="B12" s="688" t="s">
        <v>26</v>
      </c>
      <c r="C12" s="667" t="s">
        <v>25</v>
      </c>
      <c r="D12" s="670">
        <v>5000</v>
      </c>
    </row>
    <row r="13" spans="1:4" s="649" customFormat="1" ht="15.75" customHeight="1">
      <c r="A13" s="663">
        <v>7</v>
      </c>
      <c r="B13" s="688" t="s">
        <v>24</v>
      </c>
      <c r="C13" s="667" t="s">
        <v>23</v>
      </c>
      <c r="D13" s="670">
        <v>20000</v>
      </c>
    </row>
    <row r="14" spans="1:4" s="649" customFormat="1" ht="15.75" customHeight="1">
      <c r="A14" s="663">
        <v>8</v>
      </c>
      <c r="B14" s="688" t="s">
        <v>22</v>
      </c>
      <c r="C14" s="667" t="s">
        <v>21</v>
      </c>
      <c r="D14" s="670">
        <v>5000</v>
      </c>
    </row>
    <row r="15" spans="1:4" s="649" customFormat="1" ht="15.75" customHeight="1">
      <c r="A15" s="663">
        <v>9</v>
      </c>
      <c r="B15" s="688" t="s">
        <v>20</v>
      </c>
      <c r="C15" s="667" t="s">
        <v>19</v>
      </c>
      <c r="D15" s="670">
        <v>10000</v>
      </c>
    </row>
    <row r="16" spans="1:4" s="649" customFormat="1" ht="15.75" customHeight="1">
      <c r="A16" s="695">
        <v>10</v>
      </c>
      <c r="B16" s="690" t="s">
        <v>18</v>
      </c>
      <c r="C16" s="699" t="s">
        <v>17</v>
      </c>
      <c r="D16" s="670">
        <v>5000</v>
      </c>
    </row>
    <row r="17" spans="1:4" s="649" customFormat="1" ht="15.75" customHeight="1">
      <c r="A17" s="695">
        <v>11</v>
      </c>
      <c r="B17" s="690" t="s">
        <v>16</v>
      </c>
      <c r="C17" s="700" t="s">
        <v>15</v>
      </c>
      <c r="D17" s="670">
        <v>5000</v>
      </c>
    </row>
    <row r="18" spans="1:4" s="649" customFormat="1" ht="15.75" customHeight="1">
      <c r="A18" s="695">
        <v>12</v>
      </c>
      <c r="B18" s="690" t="s">
        <v>14</v>
      </c>
      <c r="C18" s="699" t="s">
        <v>13</v>
      </c>
      <c r="D18" s="704">
        <v>7000</v>
      </c>
    </row>
    <row r="19" spans="1:4" s="649" customFormat="1" ht="15.75" customHeight="1">
      <c r="A19" s="695">
        <v>13</v>
      </c>
      <c r="B19" s="690" t="s">
        <v>12</v>
      </c>
      <c r="C19" s="699" t="s">
        <v>11</v>
      </c>
      <c r="D19" s="670">
        <v>8000</v>
      </c>
    </row>
    <row r="20" spans="1:4" s="649" customFormat="1" ht="15.75" customHeight="1">
      <c r="A20" s="695">
        <v>14</v>
      </c>
      <c r="B20" s="690" t="s">
        <v>10</v>
      </c>
      <c r="C20" s="699" t="s">
        <v>9</v>
      </c>
      <c r="D20" s="670">
        <v>5000</v>
      </c>
    </row>
    <row r="21" spans="1:4" s="649" customFormat="1" ht="15.75" customHeight="1">
      <c r="A21" s="695">
        <v>15</v>
      </c>
      <c r="B21" s="690" t="s">
        <v>1210</v>
      </c>
      <c r="C21" s="699" t="s">
        <v>8</v>
      </c>
      <c r="D21" s="704">
        <v>5000</v>
      </c>
    </row>
    <row r="22" spans="1:4" s="649" customFormat="1" ht="15.75" customHeight="1">
      <c r="A22" s="695">
        <v>16</v>
      </c>
      <c r="B22" s="690" t="s">
        <v>7</v>
      </c>
      <c r="C22" s="699" t="s">
        <v>6</v>
      </c>
      <c r="D22" s="704">
        <v>5000</v>
      </c>
    </row>
    <row r="23" spans="1:4" s="649" customFormat="1" ht="15.75" customHeight="1">
      <c r="A23" s="695">
        <v>17</v>
      </c>
      <c r="B23" s="690" t="s">
        <v>5</v>
      </c>
      <c r="C23" s="699" t="s">
        <v>4</v>
      </c>
      <c r="D23" s="704">
        <v>5000</v>
      </c>
    </row>
    <row r="24" spans="1:4" s="649" customFormat="1" ht="15.75" customHeight="1">
      <c r="A24" s="695">
        <v>18</v>
      </c>
      <c r="B24" s="690" t="s">
        <v>1168</v>
      </c>
      <c r="C24" s="699" t="s">
        <v>3</v>
      </c>
      <c r="D24" s="704">
        <v>500000</v>
      </c>
    </row>
    <row r="25" spans="1:4" s="649" customFormat="1" ht="15.75" customHeight="1">
      <c r="A25" s="695">
        <v>19</v>
      </c>
      <c r="B25" s="690" t="s">
        <v>2</v>
      </c>
      <c r="C25" s="699" t="s">
        <v>1</v>
      </c>
      <c r="D25" s="704">
        <v>10000</v>
      </c>
    </row>
    <row r="26" spans="1:4" s="649" customFormat="1" ht="15.75" customHeight="1">
      <c r="A26" s="695">
        <v>20</v>
      </c>
      <c r="B26" s="690" t="s">
        <v>0</v>
      </c>
      <c r="C26" s="699" t="s">
        <v>1445</v>
      </c>
      <c r="D26" s="704">
        <v>12255</v>
      </c>
    </row>
    <row r="27" spans="1:4" s="649" customFormat="1" ht="15.75" customHeight="1">
      <c r="A27" s="695">
        <v>21</v>
      </c>
      <c r="B27" s="690" t="s">
        <v>1241</v>
      </c>
      <c r="C27" s="699" t="s">
        <v>1444</v>
      </c>
      <c r="D27" s="704">
        <v>15000</v>
      </c>
    </row>
    <row r="28" spans="1:4" s="649" customFormat="1" ht="15.75" customHeight="1">
      <c r="A28" s="695">
        <v>22</v>
      </c>
      <c r="B28" s="690" t="s">
        <v>1443</v>
      </c>
      <c r="C28" s="699" t="s">
        <v>1442</v>
      </c>
      <c r="D28" s="704">
        <v>5000</v>
      </c>
    </row>
    <row r="29" spans="1:4" s="649" customFormat="1" ht="15.75" customHeight="1">
      <c r="A29" s="695">
        <v>23</v>
      </c>
      <c r="B29" s="690" t="s">
        <v>1441</v>
      </c>
      <c r="C29" s="699" t="s">
        <v>1440</v>
      </c>
      <c r="D29" s="704">
        <v>10000</v>
      </c>
    </row>
    <row r="30" spans="1:4" s="649" customFormat="1" ht="15.75" customHeight="1">
      <c r="A30" s="695">
        <v>24</v>
      </c>
      <c r="B30" s="690" t="s">
        <v>1271</v>
      </c>
      <c r="C30" s="699" t="s">
        <v>1439</v>
      </c>
      <c r="D30" s="704">
        <v>300000</v>
      </c>
    </row>
    <row r="31" spans="1:4" s="649" customFormat="1" ht="15.75" customHeight="1">
      <c r="A31" s="695">
        <v>25</v>
      </c>
      <c r="B31" s="690" t="s">
        <v>1438</v>
      </c>
      <c r="C31" s="699" t="s">
        <v>1437</v>
      </c>
      <c r="D31" s="704">
        <v>5000</v>
      </c>
    </row>
    <row r="32" spans="1:4" s="649" customFormat="1" ht="15.75" customHeight="1">
      <c r="A32" s="695">
        <v>26</v>
      </c>
      <c r="B32" s="690" t="s">
        <v>1436</v>
      </c>
      <c r="C32" s="699" t="s">
        <v>1435</v>
      </c>
      <c r="D32" s="704">
        <v>5000</v>
      </c>
    </row>
    <row r="33" spans="1:4" s="649" customFormat="1" ht="15.75" customHeight="1">
      <c r="A33" s="695">
        <v>27</v>
      </c>
      <c r="B33" s="690" t="s">
        <v>643</v>
      </c>
      <c r="C33" s="699" t="s">
        <v>1434</v>
      </c>
      <c r="D33" s="670">
        <v>300000</v>
      </c>
    </row>
    <row r="34" spans="1:4" s="649" customFormat="1" ht="15.75" customHeight="1">
      <c r="A34" s="695">
        <v>28</v>
      </c>
      <c r="B34" s="690" t="s">
        <v>1433</v>
      </c>
      <c r="C34" s="699" t="s">
        <v>1432</v>
      </c>
      <c r="D34" s="670">
        <v>50000</v>
      </c>
    </row>
    <row r="35" spans="1:4" s="649" customFormat="1" ht="15.75" customHeight="1">
      <c r="A35" s="695">
        <v>29</v>
      </c>
      <c r="B35" s="690" t="s">
        <v>1431</v>
      </c>
      <c r="C35" s="699" t="s">
        <v>1430</v>
      </c>
      <c r="D35" s="670">
        <v>2000</v>
      </c>
    </row>
    <row r="36" spans="1:4" s="649" customFormat="1" ht="15.75" customHeight="1">
      <c r="A36" s="695">
        <v>30</v>
      </c>
      <c r="B36" s="690" t="s">
        <v>1429</v>
      </c>
      <c r="C36" s="699" t="s">
        <v>1428</v>
      </c>
      <c r="D36" s="670">
        <v>10000</v>
      </c>
    </row>
    <row r="37" spans="1:4" s="649" customFormat="1" ht="15.75" customHeight="1">
      <c r="A37" s="695">
        <v>31</v>
      </c>
      <c r="B37" s="690" t="s">
        <v>1426</v>
      </c>
      <c r="C37" s="699" t="s">
        <v>1375</v>
      </c>
      <c r="D37" s="670">
        <v>10000</v>
      </c>
    </row>
    <row r="38" spans="1:4" s="649" customFormat="1" ht="15.75" customHeight="1">
      <c r="A38" s="695">
        <v>32</v>
      </c>
      <c r="B38" s="690" t="s">
        <v>1427</v>
      </c>
      <c r="C38" s="699" t="s">
        <v>1375</v>
      </c>
      <c r="D38" s="670">
        <v>10000</v>
      </c>
    </row>
    <row r="39" spans="1:4" s="649" customFormat="1" ht="15.75" customHeight="1">
      <c r="A39" s="695">
        <v>33</v>
      </c>
      <c r="B39" s="690" t="s">
        <v>1408</v>
      </c>
      <c r="C39" s="699" t="s">
        <v>1375</v>
      </c>
      <c r="D39" s="670">
        <v>5000</v>
      </c>
    </row>
    <row r="40" spans="1:4" s="649" customFormat="1" ht="15.75" customHeight="1">
      <c r="A40" s="695">
        <v>34</v>
      </c>
      <c r="B40" s="690" t="s">
        <v>1426</v>
      </c>
      <c r="C40" s="701" t="s">
        <v>1351</v>
      </c>
      <c r="D40" s="670">
        <v>10000</v>
      </c>
    </row>
    <row r="41" spans="1:4" s="649" customFormat="1" ht="15.75" customHeight="1">
      <c r="A41" s="695">
        <v>35</v>
      </c>
      <c r="B41" s="690" t="s">
        <v>1425</v>
      </c>
      <c r="C41" s="699" t="s">
        <v>1424</v>
      </c>
      <c r="D41" s="670">
        <v>12380</v>
      </c>
    </row>
    <row r="42" spans="1:4" s="649" customFormat="1" ht="15.75" customHeight="1">
      <c r="A42" s="695">
        <v>36</v>
      </c>
      <c r="B42" s="690" t="s">
        <v>1423</v>
      </c>
      <c r="C42" s="699" t="s">
        <v>1422</v>
      </c>
      <c r="D42" s="670">
        <v>30000</v>
      </c>
    </row>
    <row r="43" spans="1:4" s="649" customFormat="1" ht="15.75" customHeight="1">
      <c r="A43" s="695">
        <v>37</v>
      </c>
      <c r="B43" s="690" t="s">
        <v>1221</v>
      </c>
      <c r="C43" s="699" t="s">
        <v>1421</v>
      </c>
      <c r="D43" s="670">
        <v>15000</v>
      </c>
    </row>
    <row r="44" spans="1:4" s="649" customFormat="1" ht="15.75" customHeight="1">
      <c r="A44" s="695">
        <v>39</v>
      </c>
      <c r="B44" s="690" t="s">
        <v>1420</v>
      </c>
      <c r="C44" s="699" t="s">
        <v>1419</v>
      </c>
      <c r="D44" s="670">
        <v>10000</v>
      </c>
    </row>
    <row r="45" spans="1:4" s="649" customFormat="1" ht="15.75" customHeight="1" thickBot="1">
      <c r="A45" s="708">
        <v>40</v>
      </c>
      <c r="B45" s="709" t="s">
        <v>1381</v>
      </c>
      <c r="C45" s="710" t="s">
        <v>1380</v>
      </c>
      <c r="D45" s="671">
        <v>193500</v>
      </c>
    </row>
    <row r="46" ht="15.75" customHeight="1"/>
    <row r="47" spans="1:4" ht="15.75" customHeight="1">
      <c r="A47" s="432" t="s">
        <v>779</v>
      </c>
      <c r="B47" s="432"/>
      <c r="C47" s="432"/>
      <c r="D47" s="331"/>
    </row>
    <row r="48" ht="15.75" customHeight="1"/>
    <row r="49" spans="1:4" ht="15.75" customHeight="1">
      <c r="A49" s="1413" t="s">
        <v>40</v>
      </c>
      <c r="B49" s="1413"/>
      <c r="C49" s="1413"/>
      <c r="D49" s="1362" t="s">
        <v>809</v>
      </c>
    </row>
    <row r="50" spans="1:4" ht="15.75" customHeight="1" thickBot="1">
      <c r="A50" s="646"/>
      <c r="B50" s="646"/>
      <c r="C50" s="646"/>
      <c r="D50" s="1362" t="s">
        <v>372</v>
      </c>
    </row>
    <row r="51" spans="1:4" s="649" customFormat="1" ht="39.75" customHeight="1" thickBot="1">
      <c r="A51" s="692" t="s">
        <v>37</v>
      </c>
      <c r="B51" s="686" t="s">
        <v>1324</v>
      </c>
      <c r="C51" s="696" t="s">
        <v>36</v>
      </c>
      <c r="D51" s="692" t="s">
        <v>1322</v>
      </c>
    </row>
    <row r="52" spans="1:4" s="649" customFormat="1" ht="15.75" customHeight="1">
      <c r="A52" s="695">
        <v>41</v>
      </c>
      <c r="B52" s="690" t="s">
        <v>1408</v>
      </c>
      <c r="C52" s="699" t="s">
        <v>1375</v>
      </c>
      <c r="D52" s="670">
        <v>5000</v>
      </c>
    </row>
    <row r="53" spans="1:4" s="649" customFormat="1" ht="15.75" customHeight="1">
      <c r="A53" s="695">
        <v>42</v>
      </c>
      <c r="B53" s="690" t="s">
        <v>1418</v>
      </c>
      <c r="C53" s="699" t="s">
        <v>1417</v>
      </c>
      <c r="D53" s="670">
        <v>15000</v>
      </c>
    </row>
    <row r="54" spans="1:4" s="649" customFormat="1" ht="15.75" customHeight="1">
      <c r="A54" s="695">
        <v>43</v>
      </c>
      <c r="B54" s="690" t="s">
        <v>1416</v>
      </c>
      <c r="C54" s="699" t="s">
        <v>1415</v>
      </c>
      <c r="D54" s="670">
        <v>10000</v>
      </c>
    </row>
    <row r="55" spans="1:4" s="649" customFormat="1" ht="15.75" customHeight="1">
      <c r="A55" s="695">
        <v>44</v>
      </c>
      <c r="B55" s="690" t="s">
        <v>1414</v>
      </c>
      <c r="C55" s="699" t="s">
        <v>1413</v>
      </c>
      <c r="D55" s="670">
        <v>6000</v>
      </c>
    </row>
    <row r="56" spans="1:4" s="649" customFormat="1" ht="15.75" customHeight="1">
      <c r="A56" s="695">
        <v>45</v>
      </c>
      <c r="B56" s="690" t="s">
        <v>1412</v>
      </c>
      <c r="C56" s="699" t="s">
        <v>1411</v>
      </c>
      <c r="D56" s="670">
        <v>10000</v>
      </c>
    </row>
    <row r="57" spans="1:4" s="649" customFormat="1" ht="15.75" customHeight="1">
      <c r="A57" s="695">
        <v>46</v>
      </c>
      <c r="B57" s="690" t="s">
        <v>1410</v>
      </c>
      <c r="C57" s="699" t="s">
        <v>1409</v>
      </c>
      <c r="D57" s="670">
        <v>15860</v>
      </c>
    </row>
    <row r="58" spans="1:4" s="649" customFormat="1" ht="15.75" customHeight="1">
      <c r="A58" s="695">
        <v>48</v>
      </c>
      <c r="B58" s="690" t="s">
        <v>1408</v>
      </c>
      <c r="C58" s="699" t="s">
        <v>1351</v>
      </c>
      <c r="D58" s="670">
        <v>10000</v>
      </c>
    </row>
    <row r="59" spans="1:4" s="649" customFormat="1" ht="15.75" customHeight="1">
      <c r="A59" s="695">
        <v>49</v>
      </c>
      <c r="B59" s="690" t="s">
        <v>1366</v>
      </c>
      <c r="C59" s="699" t="s">
        <v>1407</v>
      </c>
      <c r="D59" s="670">
        <v>5000</v>
      </c>
    </row>
    <row r="60" spans="1:4" s="649" customFormat="1" ht="15.75" customHeight="1">
      <c r="A60" s="695">
        <v>50</v>
      </c>
      <c r="B60" s="690" t="s">
        <v>1406</v>
      </c>
      <c r="C60" s="699" t="s">
        <v>1405</v>
      </c>
      <c r="D60" s="670">
        <v>15540</v>
      </c>
    </row>
    <row r="61" spans="1:4" s="649" customFormat="1" ht="15.75" customHeight="1">
      <c r="A61" s="695">
        <v>51</v>
      </c>
      <c r="B61" s="690" t="s">
        <v>1404</v>
      </c>
      <c r="C61" s="699" t="s">
        <v>1351</v>
      </c>
      <c r="D61" s="670">
        <v>10000</v>
      </c>
    </row>
    <row r="62" spans="1:4" s="649" customFormat="1" ht="15.75" customHeight="1">
      <c r="A62" s="695">
        <v>52</v>
      </c>
      <c r="B62" s="690" t="s">
        <v>1403</v>
      </c>
      <c r="C62" s="699" t="s">
        <v>1402</v>
      </c>
      <c r="D62" s="670">
        <v>10000</v>
      </c>
    </row>
    <row r="63" spans="1:4" s="649" customFormat="1" ht="15.75" customHeight="1">
      <c r="A63" s="695">
        <v>53</v>
      </c>
      <c r="B63" s="690" t="s">
        <v>1401</v>
      </c>
      <c r="C63" s="699" t="s">
        <v>1400</v>
      </c>
      <c r="D63" s="670">
        <v>10000</v>
      </c>
    </row>
    <row r="64" spans="1:4" s="649" customFormat="1" ht="15.75" customHeight="1">
      <c r="A64" s="695">
        <v>54</v>
      </c>
      <c r="B64" s="690" t="s">
        <v>1399</v>
      </c>
      <c r="C64" s="699" t="s">
        <v>1398</v>
      </c>
      <c r="D64" s="670">
        <v>10000</v>
      </c>
    </row>
    <row r="65" spans="1:4" s="649" customFormat="1" ht="15.75" customHeight="1">
      <c r="A65" s="695">
        <v>55</v>
      </c>
      <c r="B65" s="690" t="s">
        <v>1397</v>
      </c>
      <c r="C65" s="699" t="s">
        <v>1396</v>
      </c>
      <c r="D65" s="670">
        <v>10000</v>
      </c>
    </row>
    <row r="66" spans="1:4" s="649" customFormat="1" ht="15.75" customHeight="1">
      <c r="A66" s="695">
        <v>56</v>
      </c>
      <c r="B66" s="690" t="s">
        <v>1395</v>
      </c>
      <c r="C66" s="699" t="s">
        <v>1394</v>
      </c>
      <c r="D66" s="670">
        <v>10000</v>
      </c>
    </row>
    <row r="67" spans="1:4" s="649" customFormat="1" ht="15.75" customHeight="1">
      <c r="A67" s="695">
        <v>57</v>
      </c>
      <c r="B67" s="690" t="s">
        <v>1393</v>
      </c>
      <c r="C67" s="699" t="s">
        <v>1392</v>
      </c>
      <c r="D67" s="670">
        <v>10000</v>
      </c>
    </row>
    <row r="68" spans="1:4" s="649" customFormat="1" ht="15.75" customHeight="1">
      <c r="A68" s="695">
        <v>58</v>
      </c>
      <c r="B68" s="690" t="s">
        <v>1391</v>
      </c>
      <c r="C68" s="699" t="s">
        <v>1390</v>
      </c>
      <c r="D68" s="670">
        <v>20000</v>
      </c>
    </row>
    <row r="69" spans="1:4" s="649" customFormat="1" ht="15.75" customHeight="1">
      <c r="A69" s="695">
        <v>59</v>
      </c>
      <c r="B69" s="690" t="s">
        <v>1389</v>
      </c>
      <c r="C69" s="699" t="s">
        <v>1388</v>
      </c>
      <c r="D69" s="670">
        <v>10000</v>
      </c>
    </row>
    <row r="70" spans="1:4" s="649" customFormat="1" ht="15.75" customHeight="1">
      <c r="A70" s="695">
        <v>60</v>
      </c>
      <c r="B70" s="690" t="s">
        <v>1387</v>
      </c>
      <c r="C70" s="699" t="s">
        <v>1386</v>
      </c>
      <c r="D70" s="670">
        <v>30000</v>
      </c>
    </row>
    <row r="71" spans="1:4" s="649" customFormat="1" ht="15.75" customHeight="1">
      <c r="A71" s="695">
        <v>61</v>
      </c>
      <c r="B71" s="690" t="s">
        <v>1385</v>
      </c>
      <c r="C71" s="699" t="s">
        <v>1384</v>
      </c>
      <c r="D71" s="670">
        <v>15000</v>
      </c>
    </row>
    <row r="72" spans="1:4" s="649" customFormat="1" ht="15.75" customHeight="1">
      <c r="A72" s="695">
        <v>62</v>
      </c>
      <c r="B72" s="690" t="s">
        <v>1383</v>
      </c>
      <c r="C72" s="699" t="s">
        <v>1382</v>
      </c>
      <c r="D72" s="670">
        <v>2000</v>
      </c>
    </row>
    <row r="73" spans="1:4" s="649" customFormat="1" ht="15.75" customHeight="1">
      <c r="A73" s="663">
        <v>63</v>
      </c>
      <c r="B73" s="688" t="s">
        <v>1381</v>
      </c>
      <c r="C73" s="699" t="s">
        <v>1380</v>
      </c>
      <c r="D73" s="670">
        <v>9704</v>
      </c>
    </row>
    <row r="74" spans="1:4" s="649" customFormat="1" ht="15.75" customHeight="1">
      <c r="A74" s="663">
        <v>64</v>
      </c>
      <c r="B74" s="688" t="s">
        <v>1379</v>
      </c>
      <c r="C74" s="667" t="s">
        <v>1378</v>
      </c>
      <c r="D74" s="670">
        <v>7000</v>
      </c>
    </row>
    <row r="75" spans="1:4" s="649" customFormat="1" ht="15.75" customHeight="1">
      <c r="A75" s="663">
        <v>65</v>
      </c>
      <c r="B75" s="688" t="s">
        <v>1377</v>
      </c>
      <c r="C75" s="667" t="s">
        <v>1375</v>
      </c>
      <c r="D75" s="670">
        <v>4000</v>
      </c>
    </row>
    <row r="76" spans="1:4" s="649" customFormat="1" ht="15.75" customHeight="1">
      <c r="A76" s="663">
        <v>66</v>
      </c>
      <c r="B76" s="688" t="s">
        <v>1376</v>
      </c>
      <c r="C76" s="667" t="s">
        <v>1375</v>
      </c>
      <c r="D76" s="670">
        <v>10658</v>
      </c>
    </row>
    <row r="77" spans="1:4" s="649" customFormat="1" ht="15.75" customHeight="1">
      <c r="A77" s="663">
        <v>67</v>
      </c>
      <c r="B77" s="688" t="s">
        <v>1374</v>
      </c>
      <c r="C77" s="667" t="s">
        <v>1373</v>
      </c>
      <c r="D77" s="670">
        <v>10000</v>
      </c>
    </row>
    <row r="78" spans="1:4" s="649" customFormat="1" ht="15.75" customHeight="1">
      <c r="A78" s="663">
        <v>68</v>
      </c>
      <c r="B78" s="688" t="s">
        <v>1372</v>
      </c>
      <c r="C78" s="667" t="s">
        <v>1371</v>
      </c>
      <c r="D78" s="670">
        <v>7000</v>
      </c>
    </row>
    <row r="79" spans="1:4" s="649" customFormat="1" ht="15.75" customHeight="1">
      <c r="A79" s="663">
        <v>69</v>
      </c>
      <c r="B79" s="688" t="s">
        <v>1370</v>
      </c>
      <c r="C79" s="667" t="s">
        <v>1369</v>
      </c>
      <c r="D79" s="670">
        <v>15000</v>
      </c>
    </row>
    <row r="80" spans="1:4" s="649" customFormat="1" ht="15.75" customHeight="1">
      <c r="A80" s="663">
        <v>70</v>
      </c>
      <c r="B80" s="688" t="s">
        <v>1368</v>
      </c>
      <c r="C80" s="667" t="s">
        <v>1367</v>
      </c>
      <c r="D80" s="670">
        <v>10000</v>
      </c>
    </row>
    <row r="81" spans="1:4" s="649" customFormat="1" ht="15.75" customHeight="1">
      <c r="A81" s="663">
        <v>71</v>
      </c>
      <c r="B81" s="690" t="s">
        <v>1366</v>
      </c>
      <c r="C81" s="667" t="s">
        <v>1365</v>
      </c>
      <c r="D81" s="670">
        <v>15000</v>
      </c>
    </row>
    <row r="82" spans="1:4" s="649" customFormat="1" ht="15.75" customHeight="1">
      <c r="A82" s="663">
        <v>72</v>
      </c>
      <c r="B82" s="688" t="s">
        <v>1364</v>
      </c>
      <c r="C82" s="667" t="s">
        <v>1363</v>
      </c>
      <c r="D82" s="670">
        <v>15000</v>
      </c>
    </row>
    <row r="83" spans="1:4" s="649" customFormat="1" ht="15.75" customHeight="1">
      <c r="A83" s="663">
        <v>73</v>
      </c>
      <c r="B83" s="688" t="s">
        <v>1362</v>
      </c>
      <c r="C83" s="667" t="s">
        <v>1361</v>
      </c>
      <c r="D83" s="670">
        <v>15000</v>
      </c>
    </row>
    <row r="84" spans="1:4" s="649" customFormat="1" ht="15.75" customHeight="1">
      <c r="A84" s="663">
        <v>74</v>
      </c>
      <c r="B84" s="688" t="s">
        <v>1360</v>
      </c>
      <c r="C84" s="667" t="s">
        <v>1359</v>
      </c>
      <c r="D84" s="670">
        <v>12000</v>
      </c>
    </row>
    <row r="85" spans="1:4" s="649" customFormat="1" ht="15.75" customHeight="1">
      <c r="A85" s="663">
        <v>75</v>
      </c>
      <c r="B85" s="688" t="s">
        <v>1358</v>
      </c>
      <c r="C85" s="667" t="s">
        <v>1357</v>
      </c>
      <c r="D85" s="670">
        <v>10000</v>
      </c>
    </row>
    <row r="86" spans="1:4" s="649" customFormat="1" ht="15.75" customHeight="1">
      <c r="A86" s="695">
        <v>76</v>
      </c>
      <c r="B86" s="690" t="s">
        <v>1356</v>
      </c>
      <c r="C86" s="699" t="s">
        <v>1355</v>
      </c>
      <c r="D86" s="670">
        <v>15000</v>
      </c>
    </row>
    <row r="87" spans="1:4" s="649" customFormat="1" ht="15.75" customHeight="1">
      <c r="A87" s="695">
        <v>77</v>
      </c>
      <c r="B87" s="690" t="s">
        <v>1354</v>
      </c>
      <c r="C87" s="699" t="s">
        <v>1353</v>
      </c>
      <c r="D87" s="670">
        <v>12000</v>
      </c>
    </row>
    <row r="88" spans="1:4" s="649" customFormat="1" ht="15.75" customHeight="1">
      <c r="A88" s="695">
        <v>78</v>
      </c>
      <c r="B88" s="690" t="s">
        <v>1352</v>
      </c>
      <c r="C88" s="699" t="s">
        <v>1351</v>
      </c>
      <c r="D88" s="670">
        <v>7500</v>
      </c>
    </row>
    <row r="89" spans="1:4" s="649" customFormat="1" ht="15.75" customHeight="1">
      <c r="A89" s="663">
        <v>79</v>
      </c>
      <c r="B89" s="688" t="s">
        <v>1350</v>
      </c>
      <c r="C89" s="667" t="s">
        <v>1349</v>
      </c>
      <c r="D89" s="670">
        <v>10000</v>
      </c>
    </row>
    <row r="90" spans="1:4" s="649" customFormat="1" ht="15.75" customHeight="1" thickBot="1">
      <c r="A90" s="664">
        <v>80</v>
      </c>
      <c r="B90" s="707" t="s">
        <v>1348</v>
      </c>
      <c r="C90" s="668" t="s">
        <v>1347</v>
      </c>
      <c r="D90" s="671">
        <v>12000</v>
      </c>
    </row>
    <row r="91" ht="15.75" customHeight="1"/>
    <row r="92" spans="1:4" ht="15.75" customHeight="1">
      <c r="A92" s="432" t="s">
        <v>779</v>
      </c>
      <c r="B92" s="432"/>
      <c r="C92" s="432"/>
      <c r="D92" s="331"/>
    </row>
    <row r="93" ht="15.75" customHeight="1"/>
    <row r="94" spans="1:4" ht="15.75" customHeight="1">
      <c r="A94" s="1413" t="s">
        <v>40</v>
      </c>
      <c r="B94" s="1413"/>
      <c r="C94" s="1413"/>
      <c r="D94" s="647" t="s">
        <v>809</v>
      </c>
    </row>
    <row r="95" spans="1:4" ht="15.75" customHeight="1" thickBot="1">
      <c r="A95" s="646"/>
      <c r="B95" s="646"/>
      <c r="C95" s="646"/>
      <c r="D95" s="647" t="s">
        <v>373</v>
      </c>
    </row>
    <row r="96" spans="1:4" s="649" customFormat="1" ht="39.75" customHeight="1" thickBot="1">
      <c r="A96" s="692" t="s">
        <v>37</v>
      </c>
      <c r="B96" s="686" t="s">
        <v>1324</v>
      </c>
      <c r="C96" s="696" t="s">
        <v>36</v>
      </c>
      <c r="D96" s="692" t="s">
        <v>1322</v>
      </c>
    </row>
    <row r="97" spans="1:4" s="649" customFormat="1" ht="15.75" customHeight="1">
      <c r="A97" s="663">
        <v>81</v>
      </c>
      <c r="B97" s="688" t="s">
        <v>643</v>
      </c>
      <c r="C97" s="667" t="s">
        <v>1346</v>
      </c>
      <c r="D97" s="670">
        <v>155000</v>
      </c>
    </row>
    <row r="98" spans="1:4" s="649" customFormat="1" ht="15.75" customHeight="1">
      <c r="A98" s="663">
        <v>82</v>
      </c>
      <c r="B98" s="688" t="s">
        <v>1345</v>
      </c>
      <c r="C98" s="667" t="s">
        <v>1344</v>
      </c>
      <c r="D98" s="670">
        <v>40000</v>
      </c>
    </row>
    <row r="99" spans="1:4" s="649" customFormat="1" ht="15.75" customHeight="1">
      <c r="A99" s="663">
        <v>83</v>
      </c>
      <c r="B99" s="688" t="s">
        <v>1343</v>
      </c>
      <c r="C99" s="667" t="s">
        <v>1342</v>
      </c>
      <c r="D99" s="670">
        <v>50000</v>
      </c>
    </row>
    <row r="100" spans="1:4" s="649" customFormat="1" ht="15.75" customHeight="1">
      <c r="A100" s="663">
        <v>84</v>
      </c>
      <c r="B100" s="688" t="s">
        <v>1341</v>
      </c>
      <c r="C100" s="667" t="s">
        <v>1340</v>
      </c>
      <c r="D100" s="670">
        <v>6000</v>
      </c>
    </row>
    <row r="101" spans="1:4" s="649" customFormat="1" ht="15.75" customHeight="1">
      <c r="A101" s="663">
        <v>85</v>
      </c>
      <c r="B101" s="688" t="s">
        <v>1339</v>
      </c>
      <c r="C101" s="667" t="s">
        <v>1338</v>
      </c>
      <c r="D101" s="670">
        <v>8000</v>
      </c>
    </row>
    <row r="102" spans="1:4" s="649" customFormat="1" ht="15.75" customHeight="1">
      <c r="A102" s="663">
        <v>86</v>
      </c>
      <c r="B102" s="688" t="s">
        <v>1337</v>
      </c>
      <c r="C102" s="667" t="s">
        <v>1336</v>
      </c>
      <c r="D102" s="670">
        <v>18000</v>
      </c>
    </row>
    <row r="103" spans="1:4" s="649" customFormat="1" ht="15.75" customHeight="1">
      <c r="A103" s="663">
        <v>87</v>
      </c>
      <c r="B103" s="688" t="s">
        <v>1335</v>
      </c>
      <c r="C103" s="667" t="s">
        <v>1334</v>
      </c>
      <c r="D103" s="705">
        <v>13250</v>
      </c>
    </row>
    <row r="104" spans="1:4" s="649" customFormat="1" ht="15.75" customHeight="1">
      <c r="A104" s="663">
        <v>88</v>
      </c>
      <c r="B104" s="688" t="s">
        <v>1333</v>
      </c>
      <c r="C104" s="667" t="s">
        <v>1332</v>
      </c>
      <c r="D104" s="670">
        <v>5000</v>
      </c>
    </row>
    <row r="105" spans="1:4" s="649" customFormat="1" ht="15.75" customHeight="1">
      <c r="A105" s="663">
        <v>89</v>
      </c>
      <c r="B105" s="688" t="s">
        <v>1331</v>
      </c>
      <c r="C105" s="667" t="s">
        <v>1330</v>
      </c>
      <c r="D105" s="670">
        <v>5000</v>
      </c>
    </row>
    <row r="106" spans="1:4" s="649" customFormat="1" ht="15.75" customHeight="1">
      <c r="A106" s="663">
        <v>90</v>
      </c>
      <c r="B106" s="688" t="s">
        <v>1329</v>
      </c>
      <c r="C106" s="667" t="s">
        <v>1328</v>
      </c>
      <c r="D106" s="706">
        <v>70528.5</v>
      </c>
    </row>
    <row r="107" spans="1:4" s="649" customFormat="1" ht="15.75" customHeight="1" thickBot="1">
      <c r="A107" s="676">
        <v>91</v>
      </c>
      <c r="B107" s="691" t="s">
        <v>643</v>
      </c>
      <c r="C107" s="678" t="s">
        <v>1327</v>
      </c>
      <c r="D107" s="680">
        <v>1500000</v>
      </c>
    </row>
    <row r="108" spans="1:4" s="683" customFormat="1" ht="24" customHeight="1" thickBot="1">
      <c r="A108" s="685" t="s">
        <v>39</v>
      </c>
      <c r="B108" s="1415" t="s">
        <v>627</v>
      </c>
      <c r="C108" s="1415"/>
      <c r="D108" s="1115">
        <f>SUM(D7:D107)</f>
        <v>4196875.5</v>
      </c>
    </row>
    <row r="109" s="649" customFormat="1" ht="15.75" customHeight="1"/>
    <row r="110" s="649" customFormat="1" ht="15.75" customHeight="1"/>
    <row r="111" s="649" customFormat="1" ht="15.75" customHeight="1"/>
    <row r="112" s="649" customFormat="1" ht="15.75" customHeight="1"/>
    <row r="113" ht="15.75" customHeight="1"/>
    <row r="114" ht="15.75" customHeight="1"/>
    <row r="115" ht="15.75" customHeight="1"/>
  </sheetData>
  <sheetProtection/>
  <mergeCells count="4">
    <mergeCell ref="A4:C4"/>
    <mergeCell ref="B108:C108"/>
    <mergeCell ref="A49:C49"/>
    <mergeCell ref="A94:C94"/>
  </mergeCells>
  <printOptions/>
  <pageMargins left="0.45" right="0.17" top="0.7" bottom="1" header="0.4921259845" footer="0.4921259845"/>
  <pageSetup horizontalDpi="600" verticalDpi="600" orientation="portrait" paperSize="9" scale="95" r:id="rId1"/>
  <rowBreaks count="2" manualBreakCount="2">
    <brk id="45" max="255" man="1"/>
    <brk id="90" max="255" man="1"/>
  </rowBreaks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2:I46"/>
  <sheetViews>
    <sheetView zoomScalePageLayoutView="0" workbookViewId="0" topLeftCell="A43">
      <selection activeCell="B4" sqref="B4:F4"/>
    </sheetView>
  </sheetViews>
  <sheetFormatPr defaultColWidth="9.00390625" defaultRowHeight="15" customHeight="1"/>
  <cols>
    <col min="1" max="1" width="1.625" style="0" customWidth="1"/>
    <col min="2" max="2" width="32.75390625" style="0" customWidth="1"/>
    <col min="3" max="3" width="19.75390625" style="356" customWidth="1"/>
    <col min="4" max="5" width="19.75390625" style="460" customWidth="1"/>
    <col min="6" max="6" width="19.75390625" style="329" customWidth="1"/>
    <col min="7" max="7" width="8.125" style="0" customWidth="1"/>
    <col min="8" max="8" width="5.875" style="0" customWidth="1"/>
    <col min="9" max="9" width="12.75390625" style="0" bestFit="1" customWidth="1"/>
  </cols>
  <sheetData>
    <row r="2" spans="2:6" ht="18" customHeight="1">
      <c r="B2" s="939" t="s">
        <v>167</v>
      </c>
      <c r="C2" s="355"/>
      <c r="F2" s="1365" t="s">
        <v>794</v>
      </c>
    </row>
    <row r="3" ht="17.25" customHeight="1">
      <c r="G3" s="331"/>
    </row>
    <row r="4" spans="2:6" ht="25.5" customHeight="1">
      <c r="B4" s="1416" t="s">
        <v>795</v>
      </c>
      <c r="C4" s="1416"/>
      <c r="D4" s="1416"/>
      <c r="E4" s="1416"/>
      <c r="F4" s="1416"/>
    </row>
    <row r="5" spans="2:6" ht="21" customHeight="1">
      <c r="B5" s="1417" t="s">
        <v>808</v>
      </c>
      <c r="C5" s="1417"/>
      <c r="D5" s="1417"/>
      <c r="E5" s="1417"/>
      <c r="F5" s="1417"/>
    </row>
    <row r="6" spans="2:6" ht="14.25" customHeight="1">
      <c r="B6" s="332"/>
      <c r="F6" s="1365" t="s">
        <v>809</v>
      </c>
    </row>
    <row r="7" ht="7.5" customHeight="1" thickBot="1"/>
    <row r="8" spans="2:6" s="333" customFormat="1" ht="22.5" customHeight="1">
      <c r="B8" s="1418" t="s">
        <v>631</v>
      </c>
      <c r="C8" s="1420" t="s">
        <v>643</v>
      </c>
      <c r="D8" s="1420" t="s">
        <v>647</v>
      </c>
      <c r="E8" s="1420" t="s">
        <v>997</v>
      </c>
      <c r="F8" s="1422" t="s">
        <v>796</v>
      </c>
    </row>
    <row r="9" spans="2:6" s="333" customFormat="1" ht="58.5" customHeight="1" thickBot="1">
      <c r="B9" s="1419"/>
      <c r="C9" s="1421"/>
      <c r="D9" s="1421"/>
      <c r="E9" s="1421"/>
      <c r="F9" s="1423"/>
    </row>
    <row r="10" spans="2:6" ht="15.75" customHeight="1">
      <c r="B10" s="361" t="s">
        <v>816</v>
      </c>
      <c r="C10" s="369">
        <v>23358355.85</v>
      </c>
      <c r="D10" s="1018">
        <v>22062692.63</v>
      </c>
      <c r="E10" s="461">
        <v>750041.13</v>
      </c>
      <c r="F10" s="442">
        <f>SUM(C10:E10)</f>
        <v>46171089.61000001</v>
      </c>
    </row>
    <row r="11" spans="2:6" ht="15.75" customHeight="1" thickBot="1">
      <c r="B11" s="359" t="s">
        <v>797</v>
      </c>
      <c r="C11" s="370">
        <v>5311505.85</v>
      </c>
      <c r="D11" s="1019">
        <v>10762692.63</v>
      </c>
      <c r="E11" s="462">
        <v>41.13</v>
      </c>
      <c r="F11" s="444">
        <f>SUM(C11:E11)</f>
        <v>16074239.610000001</v>
      </c>
    </row>
    <row r="12" spans="2:6" ht="15.75" customHeight="1">
      <c r="B12" s="335"/>
      <c r="C12" s="371"/>
      <c r="D12" s="1020"/>
      <c r="E12" s="463"/>
      <c r="F12" s="442"/>
    </row>
    <row r="13" spans="2:6" ht="15.75" customHeight="1">
      <c r="B13" s="357" t="s">
        <v>817</v>
      </c>
      <c r="C13" s="372">
        <v>21469092.05</v>
      </c>
      <c r="D13" s="1021">
        <v>21456457.32</v>
      </c>
      <c r="E13" s="464">
        <v>633768.7</v>
      </c>
      <c r="F13" s="474">
        <f>SUM(C13:E13)</f>
        <v>43559318.07000001</v>
      </c>
    </row>
    <row r="14" spans="2:6" ht="15.75" customHeight="1">
      <c r="B14" s="362" t="s">
        <v>798</v>
      </c>
      <c r="C14" s="373">
        <v>21469092.05</v>
      </c>
      <c r="D14" s="467">
        <v>21456457.32</v>
      </c>
      <c r="E14" s="464">
        <v>633768.7</v>
      </c>
      <c r="F14" s="475">
        <f>SUM(C14:E14)</f>
        <v>43559318.07000001</v>
      </c>
    </row>
    <row r="15" spans="2:6" ht="15.75" customHeight="1" thickBot="1">
      <c r="B15" s="338" t="s">
        <v>810</v>
      </c>
      <c r="C15" s="374">
        <v>0</v>
      </c>
      <c r="D15" s="1019">
        <v>0</v>
      </c>
      <c r="E15" s="465">
        <v>0</v>
      </c>
      <c r="F15" s="334">
        <f>SUM(C15:E15)</f>
        <v>0</v>
      </c>
    </row>
    <row r="16" spans="2:6" ht="15.75" customHeight="1">
      <c r="B16" s="335"/>
      <c r="C16" s="371"/>
      <c r="D16" s="1022"/>
      <c r="E16" s="466"/>
      <c r="F16" s="442"/>
    </row>
    <row r="17" spans="2:6" ht="15.75" customHeight="1">
      <c r="B17" s="357" t="s">
        <v>818</v>
      </c>
      <c r="C17" s="372">
        <v>18046850</v>
      </c>
      <c r="D17" s="1021">
        <v>11300000</v>
      </c>
      <c r="E17" s="464">
        <v>750000</v>
      </c>
      <c r="F17" s="443">
        <f>SUM(C17:E17)</f>
        <v>30096850</v>
      </c>
    </row>
    <row r="18" spans="2:7" ht="15.75" customHeight="1">
      <c r="B18" s="362" t="s">
        <v>811</v>
      </c>
      <c r="C18" s="373">
        <v>17664850</v>
      </c>
      <c r="D18" s="467">
        <v>11300000</v>
      </c>
      <c r="E18" s="464">
        <v>750000</v>
      </c>
      <c r="F18" s="443">
        <f aca="true" t="shared" si="0" ref="F18:F24">SUM(C18:E18)</f>
        <v>29714850</v>
      </c>
      <c r="G18" s="337"/>
    </row>
    <row r="19" spans="2:6" ht="15.75" customHeight="1">
      <c r="B19" s="362" t="s">
        <v>812</v>
      </c>
      <c r="C19" s="373">
        <v>15524000</v>
      </c>
      <c r="D19" s="467">
        <v>11300000</v>
      </c>
      <c r="E19" s="464">
        <v>750000</v>
      </c>
      <c r="F19" s="443">
        <f t="shared" si="0"/>
        <v>27574000</v>
      </c>
    </row>
    <row r="20" spans="2:7" ht="15.75" customHeight="1">
      <c r="B20" s="338" t="s">
        <v>813</v>
      </c>
      <c r="C20" s="374">
        <v>0</v>
      </c>
      <c r="D20" s="1023">
        <v>0</v>
      </c>
      <c r="E20" s="467">
        <v>0</v>
      </c>
      <c r="F20" s="443">
        <f t="shared" si="0"/>
        <v>0</v>
      </c>
      <c r="G20" s="337"/>
    </row>
    <row r="21" spans="2:9" ht="15.75" customHeight="1">
      <c r="B21" s="338" t="s">
        <v>814</v>
      </c>
      <c r="C21" s="374">
        <v>2140850</v>
      </c>
      <c r="D21" s="1023">
        <v>0</v>
      </c>
      <c r="E21" s="466">
        <v>0</v>
      </c>
      <c r="F21" s="443">
        <f t="shared" si="0"/>
        <v>2140850</v>
      </c>
      <c r="I21" s="337"/>
    </row>
    <row r="22" spans="2:6" ht="15.75" customHeight="1">
      <c r="B22" s="362" t="s">
        <v>815</v>
      </c>
      <c r="C22" s="373">
        <v>382000</v>
      </c>
      <c r="D22" s="467">
        <v>0</v>
      </c>
      <c r="E22" s="467">
        <v>0</v>
      </c>
      <c r="F22" s="443">
        <f t="shared" si="0"/>
        <v>382000</v>
      </c>
    </row>
    <row r="23" spans="2:6" ht="15.75" customHeight="1">
      <c r="B23" s="336" t="s">
        <v>819</v>
      </c>
      <c r="C23" s="372">
        <v>382000</v>
      </c>
      <c r="D23" s="1021">
        <v>0</v>
      </c>
      <c r="E23" s="464">
        <v>0</v>
      </c>
      <c r="F23" s="443">
        <f t="shared" si="0"/>
        <v>382000</v>
      </c>
    </row>
    <row r="24" spans="2:6" ht="15.75" customHeight="1" thickBot="1">
      <c r="B24" s="359" t="s">
        <v>820</v>
      </c>
      <c r="C24" s="370">
        <v>0</v>
      </c>
      <c r="D24" s="1019">
        <v>0</v>
      </c>
      <c r="E24" s="466">
        <v>0</v>
      </c>
      <c r="F24" s="443">
        <f t="shared" si="0"/>
        <v>0</v>
      </c>
    </row>
    <row r="25" spans="2:6" ht="15.75" customHeight="1">
      <c r="B25" s="341"/>
      <c r="C25" s="371"/>
      <c r="D25" s="1020"/>
      <c r="E25" s="468"/>
      <c r="F25" s="364"/>
    </row>
    <row r="26" spans="2:7" s="182" customFormat="1" ht="15.75" customHeight="1">
      <c r="B26" s="360" t="s">
        <v>825</v>
      </c>
      <c r="C26" s="375" t="s">
        <v>832</v>
      </c>
      <c r="D26" s="375" t="s">
        <v>832</v>
      </c>
      <c r="E26" s="375" t="s">
        <v>832</v>
      </c>
      <c r="F26" s="366"/>
      <c r="G26" s="339"/>
    </row>
    <row r="27" spans="2:9" s="182" customFormat="1" ht="15.75" customHeight="1" thickBot="1">
      <c r="B27" s="340" t="s">
        <v>821</v>
      </c>
      <c r="C27" s="376">
        <f>SUM(C10-C13)</f>
        <v>1889263.8000000007</v>
      </c>
      <c r="D27" s="376">
        <f>SUM(D10-D13)</f>
        <v>606235.3099999987</v>
      </c>
      <c r="E27" s="376">
        <f>SUM(E10-E13)</f>
        <v>116272.43000000005</v>
      </c>
      <c r="F27" s="367">
        <f>SUM(C27:E27)</f>
        <v>2611771.5399999996</v>
      </c>
      <c r="G27" s="339"/>
      <c r="I27" s="445"/>
    </row>
    <row r="28" spans="2:6" ht="15.75" customHeight="1">
      <c r="B28" s="335"/>
      <c r="C28" s="371"/>
      <c r="D28" s="1020"/>
      <c r="E28" s="468"/>
      <c r="F28" s="364"/>
    </row>
    <row r="29" spans="2:6" ht="15.75" customHeight="1">
      <c r="B29" s="441" t="s">
        <v>822</v>
      </c>
      <c r="C29" s="372">
        <v>1361505.85</v>
      </c>
      <c r="D29" s="1021">
        <v>606235.31</v>
      </c>
      <c r="E29" s="469">
        <v>0</v>
      </c>
      <c r="F29" s="365">
        <f>SUM(C29:E29)</f>
        <v>1967741.1600000001</v>
      </c>
    </row>
    <row r="30" spans="2:6" ht="15.75" customHeight="1">
      <c r="B30" s="338" t="s">
        <v>826</v>
      </c>
      <c r="C30" s="374">
        <v>0</v>
      </c>
      <c r="D30" s="1023"/>
      <c r="E30" s="470">
        <v>0</v>
      </c>
      <c r="F30" s="365">
        <f>SUM(C30:E30)</f>
        <v>0</v>
      </c>
    </row>
    <row r="31" spans="2:6" ht="15.75" customHeight="1">
      <c r="B31" s="362" t="s">
        <v>823</v>
      </c>
      <c r="C31" s="373">
        <v>1361505.85</v>
      </c>
      <c r="D31" s="467">
        <v>606235.31</v>
      </c>
      <c r="E31" s="467">
        <v>0</v>
      </c>
      <c r="F31" s="365">
        <f>SUM(C31:E31)</f>
        <v>1967741.1600000001</v>
      </c>
    </row>
    <row r="32" spans="2:6" ht="15.75" customHeight="1" thickBot="1">
      <c r="B32" s="359" t="s">
        <v>824</v>
      </c>
      <c r="C32" s="370">
        <v>0</v>
      </c>
      <c r="D32" s="1019"/>
      <c r="E32" s="470">
        <v>0</v>
      </c>
      <c r="F32" s="365">
        <f>SUM(C32:E32)</f>
        <v>0</v>
      </c>
    </row>
    <row r="33" spans="2:6" ht="15.75" customHeight="1">
      <c r="B33" s="335"/>
      <c r="C33" s="371"/>
      <c r="D33" s="1020"/>
      <c r="E33" s="468"/>
      <c r="F33" s="364"/>
    </row>
    <row r="34" spans="2:6" ht="15.75" customHeight="1" thickBot="1">
      <c r="B34" s="360" t="s">
        <v>996</v>
      </c>
      <c r="C34" s="377">
        <v>44870.5</v>
      </c>
      <c r="D34" s="1022">
        <v>8695</v>
      </c>
      <c r="E34" s="470">
        <v>666</v>
      </c>
      <c r="F34" s="363">
        <f>SUM(C34:E34)</f>
        <v>54231.5</v>
      </c>
    </row>
    <row r="35" spans="2:6" ht="15.75" customHeight="1">
      <c r="B35" s="335"/>
      <c r="C35" s="371"/>
      <c r="D35" s="1020"/>
      <c r="E35" s="468"/>
      <c r="F35" s="364"/>
    </row>
    <row r="36" spans="2:6" ht="15.75" customHeight="1" thickBot="1">
      <c r="B36" s="340" t="s">
        <v>827</v>
      </c>
      <c r="C36" s="378">
        <v>7351796</v>
      </c>
      <c r="D36" s="1024">
        <v>6604575</v>
      </c>
      <c r="E36" s="462">
        <v>245479</v>
      </c>
      <c r="F36" s="363">
        <f>SUM(C36:E36)</f>
        <v>14201850</v>
      </c>
    </row>
    <row r="37" spans="2:6" ht="15.75" customHeight="1">
      <c r="B37" s="341"/>
      <c r="C37" s="377"/>
      <c r="D37" s="1022"/>
      <c r="E37" s="470"/>
      <c r="F37" s="358"/>
    </row>
    <row r="38" spans="2:6" ht="15.75" customHeight="1">
      <c r="B38" s="360" t="s">
        <v>995</v>
      </c>
      <c r="C38" s="377"/>
      <c r="D38" s="1022"/>
      <c r="E38" s="470"/>
      <c r="F38" s="358"/>
    </row>
    <row r="39" spans="2:6" ht="15.75" customHeight="1" thickBot="1">
      <c r="B39" s="340" t="s">
        <v>828</v>
      </c>
      <c r="C39" s="378">
        <v>527757.95</v>
      </c>
      <c r="D39" s="1024">
        <v>0</v>
      </c>
      <c r="E39" s="462">
        <v>51161.43</v>
      </c>
      <c r="F39" s="363">
        <f>SUM(C39:E39)</f>
        <v>578919.38</v>
      </c>
    </row>
    <row r="40" spans="2:6" ht="15.75" customHeight="1">
      <c r="B40" s="341"/>
      <c r="C40" s="377"/>
      <c r="D40" s="1022"/>
      <c r="E40" s="470"/>
      <c r="F40" s="358"/>
    </row>
    <row r="41" spans="2:6" ht="15.75" customHeight="1">
      <c r="B41" s="341" t="s">
        <v>829</v>
      </c>
      <c r="C41" s="379"/>
      <c r="D41" s="1025"/>
      <c r="E41" s="471"/>
      <c r="F41" s="368"/>
    </row>
    <row r="42" spans="2:6" ht="15.75" customHeight="1" thickBot="1">
      <c r="B42" s="342" t="s">
        <v>830</v>
      </c>
      <c r="C42" s="378">
        <v>0</v>
      </c>
      <c r="D42" s="1024">
        <v>0</v>
      </c>
      <c r="E42" s="462">
        <v>0</v>
      </c>
      <c r="F42" s="363">
        <f>SUM(C42:E42)</f>
        <v>0</v>
      </c>
    </row>
    <row r="43" spans="2:6" ht="15.75" customHeight="1">
      <c r="B43" s="341"/>
      <c r="C43" s="379"/>
      <c r="D43" s="1025"/>
      <c r="E43" s="471"/>
      <c r="F43" s="368"/>
    </row>
    <row r="44" spans="2:6" ht="15.75" customHeight="1">
      <c r="B44" s="341" t="s">
        <v>829</v>
      </c>
      <c r="C44" s="377"/>
      <c r="D44" s="1022"/>
      <c r="E44" s="470"/>
      <c r="F44" s="358"/>
    </row>
    <row r="45" spans="2:6" ht="15.75" customHeight="1" thickBot="1">
      <c r="B45" s="342" t="s">
        <v>831</v>
      </c>
      <c r="C45" s="378">
        <v>0</v>
      </c>
      <c r="D45" s="1024">
        <v>0</v>
      </c>
      <c r="E45" s="462">
        <v>0</v>
      </c>
      <c r="F45" s="363">
        <f>SUM(C45:E45)</f>
        <v>0</v>
      </c>
    </row>
    <row r="46" ht="15" customHeight="1">
      <c r="B46" s="343"/>
    </row>
  </sheetData>
  <sheetProtection/>
  <mergeCells count="7">
    <mergeCell ref="B4:F4"/>
    <mergeCell ref="B5:F5"/>
    <mergeCell ref="B8:B9"/>
    <mergeCell ref="C8:C9"/>
    <mergeCell ref="D8:D9"/>
    <mergeCell ref="F8:F9"/>
    <mergeCell ref="E8:E9"/>
  </mergeCells>
  <printOptions/>
  <pageMargins left="0.56" right="0.4" top="1" bottom="0.787401575" header="0.3" footer="0.3"/>
  <pageSetup horizontalDpi="600" verticalDpi="600" orientation="portrait" paperSize="9" scale="82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2:G64"/>
  <sheetViews>
    <sheetView zoomScalePageLayoutView="0" workbookViewId="0" topLeftCell="C1">
      <selection activeCell="F44" sqref="F44"/>
    </sheetView>
  </sheetViews>
  <sheetFormatPr defaultColWidth="9.00390625" defaultRowHeight="12.75"/>
  <cols>
    <col min="1" max="1" width="19.00390625" style="645" customWidth="1"/>
    <col min="2" max="2" width="49.25390625" style="645" customWidth="1"/>
    <col min="3" max="3" width="18.875" style="729" customWidth="1"/>
    <col min="4" max="4" width="17.75390625" style="729" customWidth="1"/>
    <col min="5" max="6" width="17.75390625" style="645" customWidth="1"/>
    <col min="7" max="7" width="13.875" style="645" bestFit="1" customWidth="1"/>
    <col min="8" max="16384" width="9.125" style="645" customWidth="1"/>
  </cols>
  <sheetData>
    <row r="1" ht="15" customHeight="1"/>
    <row r="2" spans="1:6" ht="18" customHeight="1">
      <c r="A2" s="711" t="s">
        <v>166</v>
      </c>
      <c r="B2" s="711"/>
      <c r="C2" s="711"/>
      <c r="D2" s="711"/>
      <c r="E2" s="711"/>
      <c r="F2" s="1366" t="s">
        <v>225</v>
      </c>
    </row>
    <row r="3" spans="1:6" ht="15.75" customHeight="1">
      <c r="A3" s="711"/>
      <c r="B3" s="1424"/>
      <c r="C3" s="1424"/>
      <c r="D3" s="1424"/>
      <c r="E3" s="711"/>
      <c r="F3" s="1367"/>
    </row>
    <row r="4" spans="1:6" ht="15.75" customHeight="1">
      <c r="A4" s="711"/>
      <c r="B4" s="1425" t="s">
        <v>165</v>
      </c>
      <c r="C4" s="1425"/>
      <c r="D4" s="1425"/>
      <c r="E4" s="747"/>
      <c r="F4" s="1367"/>
    </row>
    <row r="5" spans="3:6" s="712" customFormat="1" ht="15.75" customHeight="1" thickBot="1">
      <c r="C5" s="713"/>
      <c r="D5" s="714"/>
      <c r="F5" s="1368" t="s">
        <v>777</v>
      </c>
    </row>
    <row r="6" spans="1:7" ht="15.75">
      <c r="A6" s="1435" t="s">
        <v>41</v>
      </c>
      <c r="B6" s="1437" t="s">
        <v>42</v>
      </c>
      <c r="C6" s="1439" t="s">
        <v>43</v>
      </c>
      <c r="D6" s="1441" t="s">
        <v>44</v>
      </c>
      <c r="E6" s="1442"/>
      <c r="F6" s="1443"/>
      <c r="G6" s="748"/>
    </row>
    <row r="7" spans="1:7" ht="18" customHeight="1" thickBot="1">
      <c r="A7" s="1436"/>
      <c r="B7" s="1438"/>
      <c r="C7" s="1440"/>
      <c r="D7" s="841" t="s">
        <v>45</v>
      </c>
      <c r="E7" s="842" t="s">
        <v>46</v>
      </c>
      <c r="F7" s="843" t="s">
        <v>47</v>
      </c>
      <c r="G7" s="748"/>
    </row>
    <row r="8" spans="1:6" s="715" customFormat="1" ht="15.75" customHeight="1" thickBot="1">
      <c r="A8" s="795" t="s">
        <v>48</v>
      </c>
      <c r="B8" s="797" t="s">
        <v>49</v>
      </c>
      <c r="C8" s="798">
        <f aca="true" t="shared" si="0" ref="C8:C38">SUM(D8:F8)</f>
        <v>3077914.9</v>
      </c>
      <c r="D8" s="799">
        <v>3077914.9</v>
      </c>
      <c r="E8" s="800"/>
      <c r="F8" s="801"/>
    </row>
    <row r="9" spans="1:6" s="749" customFormat="1" ht="15.75" customHeight="1" thickBot="1">
      <c r="A9" s="851">
        <v>311</v>
      </c>
      <c r="B9" s="852" t="s">
        <v>796</v>
      </c>
      <c r="C9" s="853">
        <f t="shared" si="0"/>
        <v>3077914.9</v>
      </c>
      <c r="D9" s="854">
        <f>SUM(D8)</f>
        <v>3077914.9</v>
      </c>
      <c r="E9" s="855">
        <f>SUM(E8)</f>
        <v>0</v>
      </c>
      <c r="F9" s="856">
        <f>SUM(F8)</f>
        <v>0</v>
      </c>
    </row>
    <row r="10" spans="1:6" s="716" customFormat="1" ht="15.75" customHeight="1" thickBot="1">
      <c r="A10" s="802">
        <v>314</v>
      </c>
      <c r="B10" s="803" t="s">
        <v>50</v>
      </c>
      <c r="C10" s="804">
        <f t="shared" si="0"/>
        <v>625032.94</v>
      </c>
      <c r="D10" s="805">
        <v>625032.94</v>
      </c>
      <c r="E10" s="806"/>
      <c r="F10" s="807"/>
    </row>
    <row r="11" spans="1:6" s="750" customFormat="1" ht="15.75" customHeight="1" thickBot="1">
      <c r="A11" s="857">
        <v>314</v>
      </c>
      <c r="B11" s="858" t="s">
        <v>796</v>
      </c>
      <c r="C11" s="859">
        <f t="shared" si="0"/>
        <v>625032.94</v>
      </c>
      <c r="D11" s="860">
        <f>SUM(D10)</f>
        <v>625032.94</v>
      </c>
      <c r="E11" s="861">
        <f>SUM(E10)</f>
        <v>0</v>
      </c>
      <c r="F11" s="862">
        <f>SUM(F10)</f>
        <v>0</v>
      </c>
    </row>
    <row r="12" spans="1:6" s="716" customFormat="1" ht="15.75" customHeight="1">
      <c r="A12" s="808" t="s">
        <v>51</v>
      </c>
      <c r="B12" s="809" t="s">
        <v>52</v>
      </c>
      <c r="C12" s="810">
        <f t="shared" si="0"/>
        <v>50732</v>
      </c>
      <c r="D12" s="811">
        <v>50732</v>
      </c>
      <c r="E12" s="764"/>
      <c r="F12" s="765"/>
    </row>
    <row r="13" spans="1:6" s="716" customFormat="1" ht="15.75" customHeight="1">
      <c r="A13" s="760" t="s">
        <v>53</v>
      </c>
      <c r="B13" s="761" t="s">
        <v>54</v>
      </c>
      <c r="C13" s="762">
        <f t="shared" si="0"/>
        <v>110916.5</v>
      </c>
      <c r="D13" s="763">
        <v>110916.5</v>
      </c>
      <c r="E13" s="764"/>
      <c r="F13" s="765"/>
    </row>
    <row r="14" spans="1:6" s="716" customFormat="1" ht="15.75" customHeight="1">
      <c r="A14" s="808" t="s">
        <v>55</v>
      </c>
      <c r="B14" s="809" t="s">
        <v>56</v>
      </c>
      <c r="C14" s="762">
        <f t="shared" si="0"/>
        <v>17412504.85</v>
      </c>
      <c r="D14" s="763">
        <v>9294404.38</v>
      </c>
      <c r="E14" s="812"/>
      <c r="F14" s="813">
        <v>8118100.47</v>
      </c>
    </row>
    <row r="15" spans="1:6" s="716" customFormat="1" ht="15.75" customHeight="1">
      <c r="A15" s="760" t="s">
        <v>57</v>
      </c>
      <c r="B15" s="766" t="s">
        <v>58</v>
      </c>
      <c r="C15" s="762">
        <f t="shared" si="0"/>
        <v>29679.8</v>
      </c>
      <c r="D15" s="811">
        <v>29679.8</v>
      </c>
      <c r="E15" s="764"/>
      <c r="F15" s="765"/>
    </row>
    <row r="16" spans="1:6" s="716" customFormat="1" ht="15.75" customHeight="1">
      <c r="A16" s="814" t="s">
        <v>59</v>
      </c>
      <c r="B16" s="815" t="s">
        <v>60</v>
      </c>
      <c r="C16" s="816">
        <f t="shared" si="0"/>
        <v>937600.3600000001</v>
      </c>
      <c r="D16" s="811">
        <v>94452.8</v>
      </c>
      <c r="E16" s="764"/>
      <c r="F16" s="817">
        <v>843147.56</v>
      </c>
    </row>
    <row r="17" spans="1:6" s="716" customFormat="1" ht="15.75" customHeight="1">
      <c r="A17" s="814" t="s">
        <v>61</v>
      </c>
      <c r="B17" s="815" t="s">
        <v>62</v>
      </c>
      <c r="C17" s="762">
        <f t="shared" si="0"/>
        <v>328261.79</v>
      </c>
      <c r="D17" s="811">
        <v>328261.79</v>
      </c>
      <c r="E17" s="764"/>
      <c r="F17" s="765"/>
    </row>
    <row r="18" spans="1:6" s="716" customFormat="1" ht="15.75" customHeight="1">
      <c r="A18" s="808" t="s">
        <v>63</v>
      </c>
      <c r="B18" s="809" t="s">
        <v>64</v>
      </c>
      <c r="C18" s="762">
        <f t="shared" si="0"/>
        <v>3206</v>
      </c>
      <c r="D18" s="811">
        <v>3206</v>
      </c>
      <c r="E18" s="764"/>
      <c r="F18" s="765"/>
    </row>
    <row r="19" spans="1:6" s="716" customFormat="1" ht="15.75" customHeight="1">
      <c r="A19" s="814" t="s">
        <v>65</v>
      </c>
      <c r="B19" s="815" t="s">
        <v>66</v>
      </c>
      <c r="C19" s="816">
        <f t="shared" si="0"/>
        <v>0</v>
      </c>
      <c r="D19" s="811">
        <v>0</v>
      </c>
      <c r="E19" s="764"/>
      <c r="F19" s="817"/>
    </row>
    <row r="20" spans="1:6" s="716" customFormat="1" ht="15.75" customHeight="1">
      <c r="A20" s="808" t="s">
        <v>67</v>
      </c>
      <c r="B20" s="818" t="s">
        <v>68</v>
      </c>
      <c r="C20" s="762">
        <f t="shared" si="0"/>
        <v>0</v>
      </c>
      <c r="D20" s="811">
        <v>0</v>
      </c>
      <c r="E20" s="764"/>
      <c r="F20" s="817"/>
    </row>
    <row r="21" spans="1:6" s="716" customFormat="1" ht="15.75" customHeight="1">
      <c r="A21" s="808" t="s">
        <v>69</v>
      </c>
      <c r="B21" s="809" t="s">
        <v>70</v>
      </c>
      <c r="C21" s="762">
        <f t="shared" si="0"/>
        <v>11080</v>
      </c>
      <c r="D21" s="811">
        <v>11080</v>
      </c>
      <c r="E21" s="764"/>
      <c r="F21" s="765"/>
    </row>
    <row r="22" spans="1:6" s="716" customFormat="1" ht="15.75" customHeight="1">
      <c r="A22" s="808" t="s">
        <v>71</v>
      </c>
      <c r="B22" s="809" t="s">
        <v>72</v>
      </c>
      <c r="C22" s="762">
        <f t="shared" si="0"/>
        <v>-21690000</v>
      </c>
      <c r="D22" s="811">
        <v>-21690000</v>
      </c>
      <c r="E22" s="764"/>
      <c r="F22" s="765"/>
    </row>
    <row r="23" spans="1:6" s="716" customFormat="1" ht="15.75" customHeight="1">
      <c r="A23" s="814" t="s">
        <v>73</v>
      </c>
      <c r="B23" s="815" t="s">
        <v>74</v>
      </c>
      <c r="C23" s="816">
        <f t="shared" si="0"/>
        <v>594578.84</v>
      </c>
      <c r="D23" s="819"/>
      <c r="E23" s="820"/>
      <c r="F23" s="821">
        <v>594578.84</v>
      </c>
    </row>
    <row r="24" spans="1:6" s="716" customFormat="1" ht="15.75" customHeight="1">
      <c r="A24" s="814" t="s">
        <v>75</v>
      </c>
      <c r="B24" s="815" t="s">
        <v>76</v>
      </c>
      <c r="C24" s="756">
        <f t="shared" si="0"/>
        <v>653864.75</v>
      </c>
      <c r="D24" s="811"/>
      <c r="E24" s="764"/>
      <c r="F24" s="765">
        <v>653864.75</v>
      </c>
    </row>
    <row r="25" spans="1:6" s="716" customFormat="1" ht="15.75" customHeight="1">
      <c r="A25" s="814" t="s">
        <v>77</v>
      </c>
      <c r="B25" s="815" t="s">
        <v>78</v>
      </c>
      <c r="C25" s="762">
        <f t="shared" si="0"/>
        <v>670238.04</v>
      </c>
      <c r="D25" s="811"/>
      <c r="E25" s="764"/>
      <c r="F25" s="765">
        <v>670238.04</v>
      </c>
    </row>
    <row r="26" spans="1:6" s="716" customFormat="1" ht="15.75" customHeight="1">
      <c r="A26" s="814" t="s">
        <v>79</v>
      </c>
      <c r="B26" s="815" t="s">
        <v>80</v>
      </c>
      <c r="C26" s="756">
        <f t="shared" si="0"/>
        <v>3059143.41</v>
      </c>
      <c r="D26" s="811"/>
      <c r="E26" s="764"/>
      <c r="F26" s="765">
        <v>3059143.41</v>
      </c>
    </row>
    <row r="27" spans="1:6" s="716" customFormat="1" ht="15.75" customHeight="1">
      <c r="A27" s="814" t="s">
        <v>81</v>
      </c>
      <c r="B27" s="815" t="s">
        <v>82</v>
      </c>
      <c r="C27" s="762">
        <f t="shared" si="0"/>
        <v>1943337.9</v>
      </c>
      <c r="D27" s="811"/>
      <c r="E27" s="764"/>
      <c r="F27" s="765">
        <v>1943337.9</v>
      </c>
    </row>
    <row r="28" spans="1:6" s="716" customFormat="1" ht="15.75" customHeight="1">
      <c r="A28" s="808" t="s">
        <v>83</v>
      </c>
      <c r="B28" s="809" t="s">
        <v>84</v>
      </c>
      <c r="C28" s="762">
        <f t="shared" si="0"/>
        <v>631514</v>
      </c>
      <c r="D28" s="763">
        <v>631514</v>
      </c>
      <c r="E28" s="822"/>
      <c r="F28" s="813"/>
    </row>
    <row r="29" spans="1:6" s="716" customFormat="1" ht="15.75" customHeight="1">
      <c r="A29" s="808" t="s">
        <v>85</v>
      </c>
      <c r="B29" s="809" t="s">
        <v>86</v>
      </c>
      <c r="C29" s="762">
        <f t="shared" si="0"/>
        <v>33527.3</v>
      </c>
      <c r="D29" s="763">
        <v>33527.3</v>
      </c>
      <c r="E29" s="822"/>
      <c r="F29" s="813"/>
    </row>
    <row r="30" spans="1:6" s="716" customFormat="1" ht="15.75" customHeight="1">
      <c r="A30" s="808" t="s">
        <v>87</v>
      </c>
      <c r="B30" s="809" t="s">
        <v>88</v>
      </c>
      <c r="C30" s="762">
        <f t="shared" si="0"/>
        <v>700000</v>
      </c>
      <c r="D30" s="811">
        <v>700000</v>
      </c>
      <c r="E30" s="822"/>
      <c r="F30" s="813"/>
    </row>
    <row r="31" spans="1:6" s="716" customFormat="1" ht="15.75" customHeight="1">
      <c r="A31" s="760" t="s">
        <v>89</v>
      </c>
      <c r="B31" s="761" t="s">
        <v>90</v>
      </c>
      <c r="C31" s="762">
        <f t="shared" si="0"/>
        <v>25315535</v>
      </c>
      <c r="D31" s="763"/>
      <c r="E31" s="822">
        <v>24257794</v>
      </c>
      <c r="F31" s="813">
        <v>1057741</v>
      </c>
    </row>
    <row r="32" spans="1:6" s="716" customFormat="1" ht="15.75" customHeight="1">
      <c r="A32" s="760" t="s">
        <v>91</v>
      </c>
      <c r="B32" s="761" t="s">
        <v>92</v>
      </c>
      <c r="C32" s="762">
        <f t="shared" si="0"/>
        <v>15550739.14</v>
      </c>
      <c r="D32" s="763">
        <v>-21608.62</v>
      </c>
      <c r="E32" s="822">
        <v>15572347.76</v>
      </c>
      <c r="F32" s="813"/>
    </row>
    <row r="33" spans="1:6" s="716" customFormat="1" ht="15.75" customHeight="1">
      <c r="A33" s="814" t="s">
        <v>93</v>
      </c>
      <c r="B33" s="815" t="s">
        <v>94</v>
      </c>
      <c r="C33" s="816">
        <f t="shared" si="0"/>
        <v>784138</v>
      </c>
      <c r="D33" s="811">
        <v>784138</v>
      </c>
      <c r="E33" s="764"/>
      <c r="F33" s="817"/>
    </row>
    <row r="34" spans="1:6" s="716" customFormat="1" ht="15.75" customHeight="1" thickBot="1">
      <c r="A34" s="808" t="s">
        <v>95</v>
      </c>
      <c r="B34" s="809" t="s">
        <v>96</v>
      </c>
      <c r="C34" s="762">
        <f t="shared" si="0"/>
        <v>16293</v>
      </c>
      <c r="D34" s="823">
        <v>16293</v>
      </c>
      <c r="E34" s="824"/>
      <c r="F34" s="825"/>
    </row>
    <row r="35" spans="1:7" s="750" customFormat="1" ht="15.75" customHeight="1" thickBot="1">
      <c r="A35" s="857">
        <v>315</v>
      </c>
      <c r="B35" s="858" t="s">
        <v>796</v>
      </c>
      <c r="C35" s="859">
        <f t="shared" si="0"/>
        <v>47146890.68</v>
      </c>
      <c r="D35" s="860">
        <f>SUM(D12:D34)</f>
        <v>-9623403.049999997</v>
      </c>
      <c r="E35" s="860">
        <f>SUM(E12:E34)</f>
        <v>39830141.76</v>
      </c>
      <c r="F35" s="863">
        <f>SUM(F12:F34)</f>
        <v>16940151.97</v>
      </c>
      <c r="G35" s="751"/>
    </row>
    <row r="36" spans="1:6" ht="15.75" customHeight="1">
      <c r="A36" s="808" t="s">
        <v>97</v>
      </c>
      <c r="B36" s="809" t="s">
        <v>434</v>
      </c>
      <c r="C36" s="762">
        <f t="shared" si="0"/>
        <v>0</v>
      </c>
      <c r="D36" s="811">
        <v>0</v>
      </c>
      <c r="E36" s="764"/>
      <c r="F36" s="817"/>
    </row>
    <row r="37" spans="1:6" ht="15.75" customHeight="1" thickBot="1">
      <c r="A37" s="814" t="s">
        <v>98</v>
      </c>
      <c r="B37" s="815" t="s">
        <v>99</v>
      </c>
      <c r="C37" s="762">
        <f t="shared" si="0"/>
        <v>0</v>
      </c>
      <c r="D37" s="811"/>
      <c r="E37" s="764"/>
      <c r="F37" s="817"/>
    </row>
    <row r="38" spans="1:6" s="752" customFormat="1" ht="15.75" customHeight="1" thickBot="1">
      <c r="A38" s="851">
        <v>316</v>
      </c>
      <c r="B38" s="852" t="s">
        <v>796</v>
      </c>
      <c r="C38" s="853">
        <f t="shared" si="0"/>
        <v>0</v>
      </c>
      <c r="D38" s="864">
        <f>SUM(D36:D37)</f>
        <v>0</v>
      </c>
      <c r="E38" s="864">
        <f>SUM(E36:E37)</f>
        <v>0</v>
      </c>
      <c r="F38" s="865">
        <f>SUM(F36:F37)</f>
        <v>0</v>
      </c>
    </row>
    <row r="39" spans="1:6" s="721" customFormat="1" ht="12.75">
      <c r="A39" s="717"/>
      <c r="B39" s="718"/>
      <c r="C39" s="719"/>
      <c r="D39" s="720"/>
      <c r="E39" s="720"/>
      <c r="F39" s="720"/>
    </row>
    <row r="40" spans="1:6" s="721" customFormat="1" ht="12.75">
      <c r="A40" s="717"/>
      <c r="B40" s="718"/>
      <c r="C40" s="719"/>
      <c r="D40" s="720"/>
      <c r="E40" s="720"/>
      <c r="F40" s="720"/>
    </row>
    <row r="41" spans="1:6" s="721" customFormat="1" ht="12.75">
      <c r="A41" s="717"/>
      <c r="B41" s="718"/>
      <c r="C41" s="719"/>
      <c r="D41" s="720"/>
      <c r="E41" s="720"/>
      <c r="F41" s="720"/>
    </row>
    <row r="42" spans="1:6" s="721" customFormat="1" ht="15.75" customHeight="1">
      <c r="A42" s="717"/>
      <c r="B42" s="718"/>
      <c r="C42" s="719"/>
      <c r="D42" s="720"/>
      <c r="E42" s="720"/>
      <c r="F42" s="720"/>
    </row>
    <row r="43" spans="1:6" s="721" customFormat="1" ht="15.75" customHeight="1">
      <c r="A43" s="717"/>
      <c r="B43" s="718"/>
      <c r="C43" s="719"/>
      <c r="D43" s="720"/>
      <c r="E43" s="720"/>
      <c r="F43" s="720"/>
    </row>
    <row r="44" spans="1:6" ht="15.75" customHeight="1" thickBot="1">
      <c r="A44" s="712"/>
      <c r="B44" s="712"/>
      <c r="C44" s="713"/>
      <c r="D44" s="714"/>
      <c r="E44" s="712"/>
      <c r="F44" s="1368" t="s">
        <v>776</v>
      </c>
    </row>
    <row r="45" spans="1:6" ht="15.75">
      <c r="A45" s="1426" t="s">
        <v>41</v>
      </c>
      <c r="B45" s="1428" t="s">
        <v>42</v>
      </c>
      <c r="C45" s="1430" t="s">
        <v>43</v>
      </c>
      <c r="D45" s="1432" t="s">
        <v>44</v>
      </c>
      <c r="E45" s="1433"/>
      <c r="F45" s="1434"/>
    </row>
    <row r="46" spans="1:6" ht="18" customHeight="1" thickBot="1">
      <c r="A46" s="1427"/>
      <c r="B46" s="1429"/>
      <c r="C46" s="1431"/>
      <c r="D46" s="848" t="s">
        <v>45</v>
      </c>
      <c r="E46" s="849" t="s">
        <v>46</v>
      </c>
      <c r="F46" s="850" t="s">
        <v>47</v>
      </c>
    </row>
    <row r="47" spans="1:6" s="716" customFormat="1" ht="15.75" customHeight="1">
      <c r="A47" s="754" t="s">
        <v>100</v>
      </c>
      <c r="B47" s="755" t="s">
        <v>101</v>
      </c>
      <c r="C47" s="756">
        <f aca="true" t="shared" si="1" ref="C47:C55">SUM(D47:F47)</f>
        <v>164521.2</v>
      </c>
      <c r="D47" s="757">
        <v>164521.2</v>
      </c>
      <c r="E47" s="758"/>
      <c r="F47" s="759"/>
    </row>
    <row r="48" spans="1:6" s="716" customFormat="1" ht="15.75" customHeight="1">
      <c r="A48" s="760" t="s">
        <v>102</v>
      </c>
      <c r="B48" s="761" t="s">
        <v>103</v>
      </c>
      <c r="C48" s="762">
        <f t="shared" si="1"/>
        <v>47692794.59</v>
      </c>
      <c r="D48" s="763">
        <v>18367220.59</v>
      </c>
      <c r="E48" s="764"/>
      <c r="F48" s="765">
        <v>29325574</v>
      </c>
    </row>
    <row r="49" spans="1:6" s="716" customFormat="1" ht="15.75" customHeight="1">
      <c r="A49" s="760" t="s">
        <v>104</v>
      </c>
      <c r="B49" s="761" t="s">
        <v>105</v>
      </c>
      <c r="C49" s="762">
        <f t="shared" si="1"/>
        <v>460000</v>
      </c>
      <c r="D49" s="763">
        <v>460000</v>
      </c>
      <c r="E49" s="764"/>
      <c r="F49" s="765"/>
    </row>
    <row r="50" spans="1:6" ht="15.75" customHeight="1">
      <c r="A50" s="754" t="s">
        <v>106</v>
      </c>
      <c r="B50" s="766" t="s">
        <v>107</v>
      </c>
      <c r="C50" s="756">
        <f t="shared" si="1"/>
        <v>167900</v>
      </c>
      <c r="D50" s="767">
        <v>167900</v>
      </c>
      <c r="E50" s="768"/>
      <c r="F50" s="769"/>
    </row>
    <row r="51" spans="1:6" s="716" customFormat="1" ht="15.75" customHeight="1" thickBot="1">
      <c r="A51" s="770" t="s">
        <v>108</v>
      </c>
      <c r="B51" s="771" t="s">
        <v>109</v>
      </c>
      <c r="C51" s="772">
        <f t="shared" si="1"/>
        <v>279121</v>
      </c>
      <c r="D51" s="773">
        <v>279121</v>
      </c>
      <c r="E51" s="774"/>
      <c r="F51" s="775"/>
    </row>
    <row r="52" spans="1:6" s="737" customFormat="1" ht="15.75" customHeight="1" thickBot="1">
      <c r="A52" s="851">
        <v>318</v>
      </c>
      <c r="B52" s="852" t="s">
        <v>796</v>
      </c>
      <c r="C52" s="853">
        <f t="shared" si="1"/>
        <v>48764336.79</v>
      </c>
      <c r="D52" s="866">
        <f>SUM(D47:D49)+SUM(D50:D51)</f>
        <v>19438762.79</v>
      </c>
      <c r="E52" s="867">
        <f>SUM(E47:E49)+SUM(E50:E51)</f>
        <v>0</v>
      </c>
      <c r="F52" s="868">
        <f>SUM(F47:F49)+SUM(F50:F51)</f>
        <v>29325574</v>
      </c>
    </row>
    <row r="53" spans="1:6" s="722" customFormat="1" ht="15.75" customHeight="1">
      <c r="A53" s="776">
        <v>378</v>
      </c>
      <c r="B53" s="777" t="s">
        <v>110</v>
      </c>
      <c r="C53" s="778">
        <f t="shared" si="1"/>
        <v>488892</v>
      </c>
      <c r="D53" s="779">
        <v>329272.5</v>
      </c>
      <c r="E53" s="780"/>
      <c r="F53" s="781">
        <v>159619.5</v>
      </c>
    </row>
    <row r="54" spans="1:6" s="737" customFormat="1" ht="15.75" customHeight="1" thickBot="1">
      <c r="A54" s="754" t="s">
        <v>111</v>
      </c>
      <c r="B54" s="755" t="s">
        <v>112</v>
      </c>
      <c r="C54" s="782">
        <f t="shared" si="1"/>
        <v>75000000</v>
      </c>
      <c r="D54" s="767">
        <v>75000000</v>
      </c>
      <c r="E54" s="783"/>
      <c r="F54" s="784"/>
    </row>
    <row r="55" spans="1:6" s="737" customFormat="1" ht="15.75" customHeight="1" thickBot="1">
      <c r="A55" s="851">
        <v>378</v>
      </c>
      <c r="B55" s="852" t="s">
        <v>796</v>
      </c>
      <c r="C55" s="853">
        <f t="shared" si="1"/>
        <v>75488892</v>
      </c>
      <c r="D55" s="866">
        <f>SUM(D53:D54)</f>
        <v>75329272.5</v>
      </c>
      <c r="E55" s="869">
        <f>SUM(E53:E54)</f>
        <v>0</v>
      </c>
      <c r="F55" s="867">
        <f>SUM(F53:F54)</f>
        <v>159619.5</v>
      </c>
    </row>
    <row r="56" spans="1:6" s="721" customFormat="1" ht="15.75" customHeight="1" thickBot="1">
      <c r="A56" s="723"/>
      <c r="B56" s="724"/>
      <c r="C56" s="725"/>
      <c r="D56" s="726"/>
      <c r="E56" s="727"/>
      <c r="F56" s="728"/>
    </row>
    <row r="57" spans="1:6" s="722" customFormat="1" ht="15.75" customHeight="1" thickBot="1" thickTop="1">
      <c r="A57" s="870" t="s">
        <v>113</v>
      </c>
      <c r="B57" s="871" t="s">
        <v>114</v>
      </c>
      <c r="C57" s="872">
        <f>SUM(D57:F57)</f>
        <v>175103067.31</v>
      </c>
      <c r="D57" s="873">
        <f>SUM(D9+D11+D35+D38+D52+D55)</f>
        <v>88847580.08</v>
      </c>
      <c r="E57" s="873">
        <f>SUM(E9+E11+E35+E38+E52+E55)</f>
        <v>39830141.76</v>
      </c>
      <c r="F57" s="874">
        <f>SUM(F9+F11+F35+F38+F52+F55)</f>
        <v>46425345.47</v>
      </c>
    </row>
    <row r="58" spans="1:6" s="753" customFormat="1" ht="15.75" customHeight="1" thickBot="1">
      <c r="A58" s="875" t="s">
        <v>113</v>
      </c>
      <c r="B58" s="876" t="s">
        <v>119</v>
      </c>
      <c r="C58" s="877"/>
      <c r="D58" s="878"/>
      <c r="E58" s="879"/>
      <c r="F58" s="880"/>
    </row>
    <row r="59" spans="1:6" s="730" customFormat="1" ht="15.75" customHeight="1">
      <c r="A59" s="785">
        <v>311</v>
      </c>
      <c r="B59" s="755" t="s">
        <v>118</v>
      </c>
      <c r="C59" s="786">
        <f>SUM(D59:F59)</f>
        <v>14202026.5</v>
      </c>
      <c r="D59" s="787">
        <v>14202026.5</v>
      </c>
      <c r="E59" s="788"/>
      <c r="F59" s="789"/>
    </row>
    <row r="60" spans="1:6" s="730" customFormat="1" ht="15.75" customHeight="1">
      <c r="A60" s="790">
        <v>315</v>
      </c>
      <c r="B60" s="761" t="s">
        <v>117</v>
      </c>
      <c r="C60" s="791">
        <f>SUM(D60:F60)</f>
        <v>10388988.7</v>
      </c>
      <c r="D60" s="792">
        <v>10388988.7</v>
      </c>
      <c r="E60" s="793"/>
      <c r="F60" s="794"/>
    </row>
    <row r="61" spans="1:6" s="730" customFormat="1" ht="15.75" customHeight="1" thickBot="1">
      <c r="A61" s="795">
        <v>316</v>
      </c>
      <c r="B61" s="761" t="s">
        <v>116</v>
      </c>
      <c r="C61" s="796">
        <f>SUM(D61:F61)</f>
        <v>320975531.7</v>
      </c>
      <c r="D61" s="787">
        <v>320975531.7</v>
      </c>
      <c r="E61" s="788"/>
      <c r="F61" s="789"/>
    </row>
    <row r="62" spans="1:6" s="753" customFormat="1" ht="15.75" customHeight="1" thickBot="1">
      <c r="A62" s="851"/>
      <c r="B62" s="852" t="s">
        <v>796</v>
      </c>
      <c r="C62" s="853">
        <f>SUM(D62:F62)</f>
        <v>345566546.9</v>
      </c>
      <c r="D62" s="866">
        <f>SUM(D59:D61)</f>
        <v>345566546.9</v>
      </c>
      <c r="E62" s="867">
        <f>SUM(E61)</f>
        <v>0</v>
      </c>
      <c r="F62" s="868">
        <f>SUM(F61)</f>
        <v>0</v>
      </c>
    </row>
    <row r="63" spans="1:6" s="730" customFormat="1" ht="7.5" customHeight="1" thickBot="1">
      <c r="A63" s="736"/>
      <c r="B63" s="735"/>
      <c r="C63" s="734"/>
      <c r="D63" s="733"/>
      <c r="E63" s="732"/>
      <c r="F63" s="731"/>
    </row>
    <row r="64" spans="1:6" ht="28.5" customHeight="1" thickBot="1" thickTop="1">
      <c r="A64" s="844" t="s">
        <v>113</v>
      </c>
      <c r="B64" s="845" t="s">
        <v>115</v>
      </c>
      <c r="C64" s="846">
        <f>SUM(D64:F64)</f>
        <v>520669614.2099999</v>
      </c>
      <c r="D64" s="847">
        <f>SUM(D57+D62)</f>
        <v>434414126.97999996</v>
      </c>
      <c r="E64" s="847">
        <f>SUM(E57+E62)</f>
        <v>39830141.76</v>
      </c>
      <c r="F64" s="846">
        <f>SUM(F57+F62)</f>
        <v>46425345.47</v>
      </c>
    </row>
  </sheetData>
  <sheetProtection/>
  <mergeCells count="10">
    <mergeCell ref="B3:D3"/>
    <mergeCell ref="B4:D4"/>
    <mergeCell ref="A45:A46"/>
    <mergeCell ref="B45:B46"/>
    <mergeCell ref="C45:C46"/>
    <mergeCell ref="D45:F45"/>
    <mergeCell ref="A6:A7"/>
    <mergeCell ref="B6:B7"/>
    <mergeCell ref="C6:C7"/>
    <mergeCell ref="D6:F6"/>
  </mergeCells>
  <printOptions/>
  <pageMargins left="1.26" right="0.7874015748031497" top="0.57" bottom="0.1968503937007874" header="0.33" footer="0.2362204724409449"/>
  <pageSetup horizontalDpi="1200" verticalDpi="1200" orientation="landscape" paperSize="9" scale="86" r:id="rId1"/>
  <rowBreaks count="1" manualBreakCount="1">
    <brk id="41" max="255" man="1"/>
  </rowBreaks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2:F73"/>
  <sheetViews>
    <sheetView zoomScalePageLayoutView="0" workbookViewId="0" topLeftCell="B8">
      <selection activeCell="E33" sqref="E33"/>
    </sheetView>
  </sheetViews>
  <sheetFormatPr defaultColWidth="9.00390625" defaultRowHeight="12.75"/>
  <cols>
    <col min="1" max="1" width="58.875" style="738" customWidth="1"/>
    <col min="2" max="2" width="18.00390625" style="739" customWidth="1"/>
    <col min="3" max="3" width="23.125" style="739" customWidth="1"/>
    <col min="4" max="4" width="9.125" style="738" customWidth="1"/>
    <col min="5" max="5" width="32.00390625" style="738" customWidth="1"/>
    <col min="6" max="6" width="21.375" style="738" customWidth="1"/>
    <col min="7" max="16384" width="9.125" style="738" customWidth="1"/>
  </cols>
  <sheetData>
    <row r="1" ht="15" customHeight="1"/>
    <row r="2" spans="1:3" ht="18" customHeight="1">
      <c r="A2" s="826" t="s">
        <v>167</v>
      </c>
      <c r="C2" s="1365" t="s">
        <v>226</v>
      </c>
    </row>
    <row r="3" spans="1:3" ht="15.75" customHeight="1">
      <c r="A3" s="746"/>
      <c r="C3" s="745"/>
    </row>
    <row r="4" spans="1:3" ht="19.5" customHeight="1">
      <c r="A4" s="1444" t="s">
        <v>144</v>
      </c>
      <c r="B4" s="1444"/>
      <c r="C4" s="1444"/>
    </row>
    <row r="5" spans="1:3" ht="15.75" customHeight="1">
      <c r="A5" s="838"/>
      <c r="B5" s="838"/>
      <c r="C5" s="1370" t="s">
        <v>777</v>
      </c>
    </row>
    <row r="6" spans="1:3" ht="15" customHeight="1">
      <c r="A6" s="827"/>
      <c r="B6" s="828"/>
      <c r="C6" s="828"/>
    </row>
    <row r="7" spans="1:5" ht="16.5" customHeight="1">
      <c r="A7" s="881" t="s">
        <v>143</v>
      </c>
      <c r="B7" s="882"/>
      <c r="C7" s="883">
        <f>SUM(C8:C11)+C19</f>
        <v>2848211359.12</v>
      </c>
      <c r="E7" s="739"/>
    </row>
    <row r="8" spans="1:5" ht="15.75" customHeight="1">
      <c r="A8" s="833" t="s">
        <v>142</v>
      </c>
      <c r="B8" s="829" t="s">
        <v>546</v>
      </c>
      <c r="C8" s="830">
        <v>100000000</v>
      </c>
      <c r="E8" s="739"/>
    </row>
    <row r="9" spans="1:3" ht="15.75" customHeight="1">
      <c r="A9" s="833" t="s">
        <v>173</v>
      </c>
      <c r="B9" s="829"/>
      <c r="C9" s="830">
        <v>827000000</v>
      </c>
    </row>
    <row r="10" spans="1:3" ht="15.75" customHeight="1">
      <c r="A10" s="833" t="s">
        <v>168</v>
      </c>
      <c r="B10" s="829"/>
      <c r="C10" s="830">
        <v>529408000</v>
      </c>
    </row>
    <row r="11" spans="1:6" ht="15.75" customHeight="1">
      <c r="A11" s="833" t="s">
        <v>141</v>
      </c>
      <c r="B11" s="829" t="s">
        <v>546</v>
      </c>
      <c r="C11" s="834">
        <f>SUM(B12:B18)</f>
        <v>942976419.45</v>
      </c>
      <c r="F11" s="744"/>
    </row>
    <row r="12" spans="1:3" ht="15.75" customHeight="1">
      <c r="A12" s="835" t="s">
        <v>164</v>
      </c>
      <c r="B12" s="830">
        <v>8665924</v>
      </c>
      <c r="C12" s="829"/>
    </row>
    <row r="13" spans="1:5" ht="15.75" customHeight="1">
      <c r="A13" s="835" t="s">
        <v>163</v>
      </c>
      <c r="B13" s="830">
        <v>143333320</v>
      </c>
      <c r="C13" s="829"/>
      <c r="E13" s="743"/>
    </row>
    <row r="14" spans="1:5" ht="15.75" customHeight="1">
      <c r="A14" s="836" t="s">
        <v>140</v>
      </c>
      <c r="B14" s="830">
        <v>229448164</v>
      </c>
      <c r="C14" s="829"/>
      <c r="E14" s="839"/>
    </row>
    <row r="15" spans="1:5" ht="15.75" customHeight="1">
      <c r="A15" s="836" t="s">
        <v>139</v>
      </c>
      <c r="B15" s="830">
        <v>232301408.45</v>
      </c>
      <c r="C15" s="829"/>
      <c r="E15" s="743"/>
    </row>
    <row r="16" spans="1:5" ht="15.75" customHeight="1">
      <c r="A16" s="836" t="s">
        <v>138</v>
      </c>
      <c r="B16" s="830">
        <v>110000000</v>
      </c>
      <c r="C16" s="829"/>
      <c r="E16" s="743"/>
    </row>
    <row r="17" spans="1:5" ht="15.75" customHeight="1">
      <c r="A17" s="836" t="s">
        <v>137</v>
      </c>
      <c r="B17" s="830">
        <v>84000000</v>
      </c>
      <c r="C17" s="829"/>
      <c r="E17" s="742"/>
    </row>
    <row r="18" spans="1:5" ht="15.75" customHeight="1">
      <c r="A18" s="836" t="s">
        <v>136</v>
      </c>
      <c r="B18" s="830">
        <v>135227603</v>
      </c>
      <c r="C18" s="829"/>
      <c r="E18" s="742"/>
    </row>
    <row r="19" spans="1:5" ht="15.75" customHeight="1">
      <c r="A19" s="833" t="s">
        <v>135</v>
      </c>
      <c r="B19" s="830"/>
      <c r="C19" s="834">
        <f>SUM(B20:B33)</f>
        <v>448826939.66999996</v>
      </c>
      <c r="E19" s="840"/>
    </row>
    <row r="20" spans="1:5" ht="15.75" customHeight="1">
      <c r="A20" s="835" t="s">
        <v>162</v>
      </c>
      <c r="B20" s="830">
        <v>14341772.44</v>
      </c>
      <c r="C20" s="829"/>
      <c r="E20" s="742"/>
    </row>
    <row r="21" spans="1:5" ht="15.75" customHeight="1">
      <c r="A21" s="835" t="s">
        <v>161</v>
      </c>
      <c r="B21" s="830">
        <v>25369432.45</v>
      </c>
      <c r="C21" s="829"/>
      <c r="E21" s="742"/>
    </row>
    <row r="22" spans="1:5" ht="15.75" customHeight="1">
      <c r="A22" s="835" t="s">
        <v>160</v>
      </c>
      <c r="B22" s="830">
        <v>9566357.09</v>
      </c>
      <c r="C22" s="829"/>
      <c r="E22" s="742"/>
    </row>
    <row r="23" spans="1:5" ht="15.75" customHeight="1">
      <c r="A23" s="835" t="s">
        <v>159</v>
      </c>
      <c r="B23" s="830">
        <v>46723874.35</v>
      </c>
      <c r="C23" s="829"/>
      <c r="E23" s="742"/>
    </row>
    <row r="24" spans="1:5" ht="15.75" customHeight="1">
      <c r="A24" s="836" t="s">
        <v>134</v>
      </c>
      <c r="B24" s="830">
        <v>30130922.25</v>
      </c>
      <c r="C24" s="829"/>
      <c r="E24" s="742"/>
    </row>
    <row r="25" spans="1:5" ht="15.75" customHeight="1">
      <c r="A25" s="836" t="s">
        <v>133</v>
      </c>
      <c r="B25" s="830">
        <v>16126931.51</v>
      </c>
      <c r="C25" s="829"/>
      <c r="E25" s="742"/>
    </row>
    <row r="26" spans="1:3" ht="15.75" customHeight="1">
      <c r="A26" s="836" t="s">
        <v>132</v>
      </c>
      <c r="B26" s="830">
        <v>53750318.58</v>
      </c>
      <c r="C26" s="829"/>
    </row>
    <row r="27" spans="1:3" ht="15.75" customHeight="1">
      <c r="A27" s="836" t="s">
        <v>131</v>
      </c>
      <c r="B27" s="830">
        <v>35861848.09</v>
      </c>
      <c r="C27" s="829"/>
    </row>
    <row r="28" spans="1:3" ht="15.75" customHeight="1">
      <c r="A28" s="836" t="s">
        <v>130</v>
      </c>
      <c r="B28" s="830">
        <v>35861848.09</v>
      </c>
      <c r="C28" s="829"/>
    </row>
    <row r="29" spans="1:3" ht="15.75" customHeight="1">
      <c r="A29" s="836" t="s">
        <v>129</v>
      </c>
      <c r="B29" s="830">
        <v>56810557.28</v>
      </c>
      <c r="C29" s="829"/>
    </row>
    <row r="30" spans="1:3" ht="15.75" customHeight="1">
      <c r="A30" s="836" t="s">
        <v>128</v>
      </c>
      <c r="B30" s="830">
        <v>29125650.62</v>
      </c>
      <c r="C30" s="829"/>
    </row>
    <row r="31" spans="1:3" ht="15.75" customHeight="1">
      <c r="A31" s="836" t="s">
        <v>127</v>
      </c>
      <c r="B31" s="830">
        <v>40597047.91</v>
      </c>
      <c r="C31" s="829"/>
    </row>
    <row r="32" spans="1:3" ht="15.75" customHeight="1">
      <c r="A32" s="836" t="s">
        <v>126</v>
      </c>
      <c r="B32" s="830">
        <v>32783041.18</v>
      </c>
      <c r="C32" s="829"/>
    </row>
    <row r="33" spans="1:3" ht="15.75" customHeight="1">
      <c r="A33" s="836" t="s">
        <v>125</v>
      </c>
      <c r="B33" s="830">
        <v>21777337.83</v>
      </c>
      <c r="C33" s="829"/>
    </row>
    <row r="34" spans="1:3" ht="16.5" customHeight="1">
      <c r="A34" s="884" t="s">
        <v>124</v>
      </c>
      <c r="B34" s="885"/>
      <c r="C34" s="886">
        <f>SUM(C51+C43+C35)</f>
        <v>49584001.56</v>
      </c>
    </row>
    <row r="35" spans="1:3" ht="15.75" customHeight="1">
      <c r="A35" s="837" t="s">
        <v>177</v>
      </c>
      <c r="B35" s="829"/>
      <c r="C35" s="834">
        <f>SUM(B36:B41)</f>
        <v>36805974.120000005</v>
      </c>
    </row>
    <row r="36" spans="1:3" ht="15.75" customHeight="1">
      <c r="A36" s="837" t="s">
        <v>123</v>
      </c>
      <c r="B36" s="830">
        <v>3431863.78</v>
      </c>
      <c r="C36" s="829"/>
    </row>
    <row r="37" spans="1:3" ht="15.75" customHeight="1">
      <c r="A37" s="837" t="s">
        <v>158</v>
      </c>
      <c r="B37" s="830">
        <v>1510588.15</v>
      </c>
      <c r="C37" s="829"/>
    </row>
    <row r="38" spans="1:3" ht="15.75" customHeight="1">
      <c r="A38" s="837" t="s">
        <v>157</v>
      </c>
      <c r="B38" s="830">
        <v>9277291.5</v>
      </c>
      <c r="C38" s="829"/>
    </row>
    <row r="39" spans="1:3" ht="15.75" customHeight="1">
      <c r="A39" s="837" t="s">
        <v>156</v>
      </c>
      <c r="B39" s="830">
        <v>155144</v>
      </c>
      <c r="C39" s="829"/>
    </row>
    <row r="40" spans="1:3" ht="15.75" customHeight="1">
      <c r="A40" s="837" t="s">
        <v>155</v>
      </c>
      <c r="B40" s="830">
        <v>22431086.69</v>
      </c>
      <c r="C40" s="829"/>
    </row>
    <row r="41" spans="1:3" ht="15.75" customHeight="1">
      <c r="A41" s="837" t="s">
        <v>154</v>
      </c>
      <c r="B41" s="830"/>
      <c r="C41" s="829"/>
    </row>
    <row r="42" spans="1:5" ht="15.75" customHeight="1">
      <c r="A42" s="837"/>
      <c r="B42" s="830"/>
      <c r="C42" s="829"/>
      <c r="E42" s="739"/>
    </row>
    <row r="43" spans="1:3" ht="15.75" customHeight="1">
      <c r="A43" s="837" t="s">
        <v>176</v>
      </c>
      <c r="B43" s="830"/>
      <c r="C43" s="834">
        <f>SUM(B44:B50)</f>
        <v>12778027.44</v>
      </c>
    </row>
    <row r="44" spans="1:3" ht="15.75" customHeight="1">
      <c r="A44" s="837" t="s">
        <v>122</v>
      </c>
      <c r="B44" s="830">
        <v>1240854</v>
      </c>
      <c r="C44" s="830"/>
    </row>
    <row r="45" spans="1:3" ht="15.75" customHeight="1">
      <c r="A45" s="837" t="s">
        <v>153</v>
      </c>
      <c r="B45" s="830">
        <v>744758</v>
      </c>
      <c r="C45" s="830"/>
    </row>
    <row r="46" spans="1:3" ht="15.75" customHeight="1">
      <c r="A46" s="837" t="s">
        <v>152</v>
      </c>
      <c r="B46" s="830">
        <v>6036</v>
      </c>
      <c r="C46" s="830"/>
    </row>
    <row r="47" spans="1:3" ht="15.75" customHeight="1">
      <c r="A47" s="837" t="s">
        <v>151</v>
      </c>
      <c r="B47" s="830">
        <v>60555</v>
      </c>
      <c r="C47" s="830"/>
    </row>
    <row r="48" spans="1:3" ht="15.75" customHeight="1">
      <c r="A48" s="837" t="s">
        <v>150</v>
      </c>
      <c r="B48" s="830">
        <v>470489.44</v>
      </c>
      <c r="C48" s="830"/>
    </row>
    <row r="49" spans="1:3" ht="15.75" customHeight="1">
      <c r="A49" s="837" t="s">
        <v>149</v>
      </c>
      <c r="B49" s="830">
        <v>5191410</v>
      </c>
      <c r="C49" s="830"/>
    </row>
    <row r="50" spans="1:3" ht="15.75" customHeight="1">
      <c r="A50" s="837" t="s">
        <v>148</v>
      </c>
      <c r="B50" s="830">
        <v>5063925</v>
      </c>
      <c r="C50" s="830"/>
    </row>
    <row r="51" spans="1:6" ht="15.75" customHeight="1">
      <c r="A51" s="837" t="s">
        <v>175</v>
      </c>
      <c r="B51" s="830"/>
      <c r="C51" s="834">
        <v>0</v>
      </c>
      <c r="F51" s="741"/>
    </row>
    <row r="52" spans="1:6" ht="15.75" customHeight="1">
      <c r="A52" s="837"/>
      <c r="B52" s="830"/>
      <c r="C52" s="834"/>
      <c r="F52" s="741"/>
    </row>
    <row r="53" spans="1:6" ht="15.75" customHeight="1">
      <c r="A53" s="837"/>
      <c r="B53" s="830"/>
      <c r="C53" s="1369" t="s">
        <v>178</v>
      </c>
      <c r="F53" s="741"/>
    </row>
    <row r="54" spans="1:6" ht="15.75" customHeight="1">
      <c r="A54" s="837"/>
      <c r="B54" s="830"/>
      <c r="C54" s="834"/>
      <c r="F54" s="741"/>
    </row>
    <row r="55" spans="1:3" ht="16.5" customHeight="1">
      <c r="A55" s="887" t="s">
        <v>179</v>
      </c>
      <c r="B55" s="888"/>
      <c r="C55" s="889">
        <f>SUM(B56:B59)</f>
        <v>392489.57</v>
      </c>
    </row>
    <row r="56" spans="1:3" ht="15.75" customHeight="1">
      <c r="A56" s="837" t="s">
        <v>121</v>
      </c>
      <c r="B56" s="830">
        <v>144983.5</v>
      </c>
      <c r="C56" s="831"/>
    </row>
    <row r="57" spans="1:3" ht="15.75" customHeight="1">
      <c r="A57" s="837" t="s">
        <v>147</v>
      </c>
      <c r="B57" s="830">
        <v>38570.81</v>
      </c>
      <c r="C57" s="831"/>
    </row>
    <row r="58" spans="1:3" ht="15.75" customHeight="1">
      <c r="A58" s="837" t="s">
        <v>146</v>
      </c>
      <c r="B58" s="830">
        <v>86688.26</v>
      </c>
      <c r="C58" s="831"/>
    </row>
    <row r="59" spans="1:3" ht="15.75" customHeight="1">
      <c r="A59" s="837" t="s">
        <v>145</v>
      </c>
      <c r="B59" s="830">
        <v>122247</v>
      </c>
      <c r="C59" s="831"/>
    </row>
    <row r="60" spans="1:3" ht="16.5" customHeight="1">
      <c r="A60" s="887" t="s">
        <v>120</v>
      </c>
      <c r="B60" s="890"/>
      <c r="C60" s="889">
        <f>SUM(B61:B64)</f>
        <v>11238326.6</v>
      </c>
    </row>
    <row r="61" spans="1:3" ht="15.75" customHeight="1">
      <c r="A61" s="837" t="s">
        <v>169</v>
      </c>
      <c r="B61" s="830">
        <v>6639502</v>
      </c>
      <c r="C61" s="832"/>
    </row>
    <row r="62" spans="1:3" ht="15.75" customHeight="1">
      <c r="A62" s="837" t="s">
        <v>170</v>
      </c>
      <c r="B62" s="830">
        <v>3661132</v>
      </c>
      <c r="C62" s="828"/>
    </row>
    <row r="63" spans="1:3" ht="15.75" customHeight="1">
      <c r="A63" s="837" t="s">
        <v>171</v>
      </c>
      <c r="B63" s="830">
        <v>901735</v>
      </c>
      <c r="C63" s="828"/>
    </row>
    <row r="64" spans="1:3" ht="15.75" customHeight="1" thickBot="1">
      <c r="A64" s="837" t="s">
        <v>172</v>
      </c>
      <c r="B64" s="830">
        <v>35957.6</v>
      </c>
      <c r="C64" s="828"/>
    </row>
    <row r="65" spans="1:3" s="740" customFormat="1" ht="20.25" customHeight="1" thickBot="1">
      <c r="A65" s="891" t="s">
        <v>114</v>
      </c>
      <c r="B65" s="892"/>
      <c r="C65" s="893">
        <f>SUM(C60+C55+C34+C7)</f>
        <v>2909426176.85</v>
      </c>
    </row>
    <row r="66" spans="1:3" s="741" customFormat="1" ht="17.25" customHeight="1" thickBot="1">
      <c r="A66" s="897" t="s">
        <v>119</v>
      </c>
      <c r="B66" s="898"/>
      <c r="C66" s="899">
        <v>359946105.48</v>
      </c>
    </row>
    <row r="67" spans="1:3" s="741" customFormat="1" ht="21.75" customHeight="1" thickBot="1">
      <c r="A67" s="894" t="s">
        <v>174</v>
      </c>
      <c r="B67" s="895"/>
      <c r="C67" s="896">
        <f>SUM(C65:C66)</f>
        <v>3269372282.33</v>
      </c>
    </row>
    <row r="72" spans="2:3" ht="12.75">
      <c r="B72" s="738"/>
      <c r="C72" s="738"/>
    </row>
    <row r="73" spans="2:3" ht="12.75">
      <c r="B73" s="738"/>
      <c r="C73" s="738"/>
    </row>
  </sheetData>
  <sheetProtection/>
  <mergeCells count="1">
    <mergeCell ref="A4:C4"/>
  </mergeCells>
  <printOptions/>
  <pageMargins left="0.66" right="0.1968503937007874" top="0.54" bottom="0" header="0.15748031496062992" footer="0.1968503937007874"/>
  <pageSetup horizontalDpi="600" verticalDpi="600" orientation="portrait" paperSize="9" scale="92" r:id="rId1"/>
  <rowBreaks count="1" manualBreakCount="1">
    <brk id="52" max="255" man="1"/>
  </rowBreaks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99"/>
  <sheetViews>
    <sheetView workbookViewId="0" topLeftCell="A46">
      <selection activeCell="A1" sqref="A1"/>
    </sheetView>
  </sheetViews>
  <sheetFormatPr defaultColWidth="9.00390625" defaultRowHeight="12.75"/>
  <cols>
    <col min="1" max="1" width="66.25390625" style="0" customWidth="1"/>
    <col min="2" max="2" width="20.00390625" style="0" customWidth="1"/>
    <col min="3" max="3" width="5.875" style="0" customWidth="1"/>
    <col min="4" max="4" width="4.125" style="0" customWidth="1"/>
    <col min="5" max="5" width="10.625" style="337" customWidth="1"/>
    <col min="6" max="6" width="11.875" style="337" customWidth="1"/>
    <col min="7" max="7" width="14.125" style="337" customWidth="1"/>
    <col min="8" max="8" width="12.625" style="0" customWidth="1"/>
    <col min="9" max="9" width="13.375" style="0" customWidth="1"/>
  </cols>
  <sheetData>
    <row r="1" spans="1:2" ht="15">
      <c r="A1" s="323"/>
      <c r="B1" s="324"/>
    </row>
    <row r="2" spans="1:2" ht="18">
      <c r="A2" s="938" t="s">
        <v>167</v>
      </c>
      <c r="B2" s="1371" t="s">
        <v>180</v>
      </c>
    </row>
    <row r="3" spans="1:2" ht="15">
      <c r="A3" s="323"/>
      <c r="B3" s="1369" t="s">
        <v>268</v>
      </c>
    </row>
    <row r="4" spans="1:2" ht="15">
      <c r="A4" s="323"/>
      <c r="B4" s="324"/>
    </row>
    <row r="5" spans="1:2" ht="18">
      <c r="A5" s="1445" t="s">
        <v>780</v>
      </c>
      <c r="B5" s="1445"/>
    </row>
    <row r="6" spans="1:2" ht="15" customHeight="1">
      <c r="A6" s="323"/>
      <c r="B6" s="1371" t="s">
        <v>809</v>
      </c>
    </row>
    <row r="7" spans="1:2" ht="15" customHeight="1">
      <c r="A7" s="323"/>
      <c r="B7" s="324"/>
    </row>
    <row r="8" spans="1:2" ht="15.75" customHeight="1">
      <c r="A8" s="344" t="s">
        <v>781</v>
      </c>
      <c r="B8" s="324"/>
    </row>
    <row r="9" spans="1:2" ht="15.75" customHeight="1">
      <c r="A9" s="345" t="s">
        <v>782</v>
      </c>
      <c r="B9" s="346">
        <v>157917.24</v>
      </c>
    </row>
    <row r="10" spans="1:2" ht="15.75" customHeight="1">
      <c r="A10" s="323" t="s">
        <v>783</v>
      </c>
      <c r="B10" s="324">
        <v>0</v>
      </c>
    </row>
    <row r="11" spans="1:2" ht="15.75" customHeight="1">
      <c r="A11" s="323" t="s">
        <v>784</v>
      </c>
      <c r="B11" s="324">
        <v>0</v>
      </c>
    </row>
    <row r="12" spans="1:7" ht="15.75" customHeight="1">
      <c r="A12" s="323" t="s">
        <v>791</v>
      </c>
      <c r="B12" s="324">
        <v>157.53</v>
      </c>
      <c r="E12" s="330"/>
      <c r="F12" s="330"/>
      <c r="G12" s="330"/>
    </row>
    <row r="13" spans="1:2" ht="15.75" customHeight="1">
      <c r="A13" s="323" t="s">
        <v>792</v>
      </c>
      <c r="B13" s="324">
        <v>1004</v>
      </c>
    </row>
    <row r="14" spans="1:2" ht="15.75" customHeight="1">
      <c r="A14" s="349" t="s">
        <v>801</v>
      </c>
      <c r="B14" s="348">
        <f>SUM(B9+B10-B11+B12-B13)</f>
        <v>157070.77</v>
      </c>
    </row>
    <row r="15" spans="1:2" ht="15.75" customHeight="1">
      <c r="A15" s="323"/>
      <c r="B15" s="324"/>
    </row>
    <row r="16" spans="1:2" ht="15.75" customHeight="1">
      <c r="A16" s="323"/>
      <c r="B16" s="324"/>
    </row>
    <row r="17" spans="1:2" ht="15.75" customHeight="1">
      <c r="A17" s="344" t="s">
        <v>786</v>
      </c>
      <c r="B17" s="324"/>
    </row>
    <row r="18" spans="1:2" ht="15.75" customHeight="1">
      <c r="A18" s="345" t="s">
        <v>782</v>
      </c>
      <c r="B18" s="346">
        <v>962182.92</v>
      </c>
    </row>
    <row r="19" spans="1:2" ht="15.75" customHeight="1">
      <c r="A19" s="323" t="s">
        <v>783</v>
      </c>
      <c r="B19" s="324">
        <v>0</v>
      </c>
    </row>
    <row r="20" spans="1:2" ht="15.75" customHeight="1">
      <c r="A20" s="323" t="s">
        <v>784</v>
      </c>
      <c r="B20" s="324">
        <v>0</v>
      </c>
    </row>
    <row r="21" spans="1:2" ht="15.75" customHeight="1">
      <c r="A21" s="323" t="s">
        <v>791</v>
      </c>
      <c r="B21" s="324">
        <v>66782.86</v>
      </c>
    </row>
    <row r="22" spans="1:2" ht="15.75" customHeight="1">
      <c r="A22" s="323" t="s">
        <v>799</v>
      </c>
      <c r="B22" s="324">
        <v>12677</v>
      </c>
    </row>
    <row r="23" spans="1:2" ht="15.75" customHeight="1">
      <c r="A23" s="323" t="s">
        <v>800</v>
      </c>
      <c r="B23" s="324">
        <v>48615.07</v>
      </c>
    </row>
    <row r="24" spans="1:2" ht="15.75" customHeight="1">
      <c r="A24" s="349" t="s">
        <v>785</v>
      </c>
      <c r="B24" s="348">
        <f>SUM(B18+B19-B20+B21-B22-B23)</f>
        <v>967673.7100000001</v>
      </c>
    </row>
    <row r="25" spans="1:2" ht="15.75" customHeight="1">
      <c r="A25" s="325"/>
      <c r="B25" s="324"/>
    </row>
    <row r="26" spans="1:2" ht="15.75" customHeight="1">
      <c r="A26" s="325"/>
      <c r="B26" s="324"/>
    </row>
    <row r="27" spans="1:2" ht="15.75" customHeight="1">
      <c r="A27" s="344" t="s">
        <v>787</v>
      </c>
      <c r="B27" s="324"/>
    </row>
    <row r="28" spans="1:2" ht="15.75" customHeight="1">
      <c r="A28" s="345" t="s">
        <v>782</v>
      </c>
      <c r="B28" s="347">
        <v>1487362.32</v>
      </c>
    </row>
    <row r="29" spans="1:2" ht="15.75" customHeight="1">
      <c r="A29" s="323" t="s">
        <v>783</v>
      </c>
      <c r="B29" s="324">
        <v>0</v>
      </c>
    </row>
    <row r="30" spans="1:2" ht="15.75" customHeight="1">
      <c r="A30" s="323" t="s">
        <v>784</v>
      </c>
      <c r="B30" s="324">
        <v>0</v>
      </c>
    </row>
    <row r="31" spans="1:2" ht="15.75" customHeight="1">
      <c r="A31" s="349" t="s">
        <v>785</v>
      </c>
      <c r="B31" s="348">
        <f>SUM(B28+B29-B30)</f>
        <v>1487362.32</v>
      </c>
    </row>
    <row r="32" spans="1:2" ht="15.75" customHeight="1">
      <c r="A32" s="323"/>
      <c r="B32" s="324"/>
    </row>
    <row r="33" spans="1:2" ht="15.75" customHeight="1">
      <c r="A33" s="323"/>
      <c r="B33" s="324"/>
    </row>
    <row r="34" spans="1:2" ht="15.75" customHeight="1">
      <c r="A34" s="344" t="s">
        <v>788</v>
      </c>
      <c r="B34" s="324"/>
    </row>
    <row r="35" spans="1:2" ht="15.75" customHeight="1">
      <c r="A35" s="345" t="s">
        <v>782</v>
      </c>
      <c r="B35" s="346">
        <v>945326.84</v>
      </c>
    </row>
    <row r="36" spans="1:2" ht="15.75" customHeight="1">
      <c r="A36" s="323" t="s">
        <v>802</v>
      </c>
      <c r="B36" s="326">
        <v>0</v>
      </c>
    </row>
    <row r="37" spans="1:2" ht="15.75" customHeight="1">
      <c r="A37" s="323" t="s">
        <v>784</v>
      </c>
      <c r="B37" s="327">
        <v>0</v>
      </c>
    </row>
    <row r="38" spans="1:2" ht="15.75" customHeight="1">
      <c r="A38" s="349" t="s">
        <v>785</v>
      </c>
      <c r="B38" s="348">
        <f>SUM(B35+B36-B37)</f>
        <v>945326.84</v>
      </c>
    </row>
    <row r="39" spans="1:2" ht="15.75" customHeight="1">
      <c r="A39" s="323"/>
      <c r="B39" s="324"/>
    </row>
    <row r="40" spans="1:2" ht="15.75" customHeight="1">
      <c r="A40" s="323"/>
      <c r="B40" s="324"/>
    </row>
    <row r="41" spans="1:2" ht="15.75" customHeight="1">
      <c r="A41" s="344" t="s">
        <v>793</v>
      </c>
      <c r="B41" s="324"/>
    </row>
    <row r="42" spans="1:2" ht="15.75" customHeight="1">
      <c r="A42" s="345" t="s">
        <v>782</v>
      </c>
      <c r="B42" s="346">
        <v>50635</v>
      </c>
    </row>
    <row r="43" spans="1:2" ht="15.75" customHeight="1">
      <c r="A43" s="323" t="s">
        <v>783</v>
      </c>
      <c r="B43" s="326">
        <v>0</v>
      </c>
    </row>
    <row r="44" spans="1:2" ht="15.75" customHeight="1">
      <c r="A44" s="323" t="s">
        <v>784</v>
      </c>
      <c r="B44" s="327"/>
    </row>
    <row r="45" spans="1:2" ht="15.75" customHeight="1">
      <c r="A45" s="323" t="s">
        <v>807</v>
      </c>
      <c r="B45" s="327">
        <v>50000</v>
      </c>
    </row>
    <row r="46" spans="1:2" ht="15.75" customHeight="1">
      <c r="A46" s="323" t="s">
        <v>791</v>
      </c>
      <c r="B46" s="327">
        <v>28.61</v>
      </c>
    </row>
    <row r="47" spans="1:2" ht="15.75" customHeight="1">
      <c r="A47" s="323" t="s">
        <v>792</v>
      </c>
      <c r="B47" s="327">
        <v>553</v>
      </c>
    </row>
    <row r="48" spans="1:2" ht="15.75" customHeight="1">
      <c r="A48" s="349" t="s">
        <v>803</v>
      </c>
      <c r="B48" s="348">
        <f>SUM(B42+B43-B44-B45+B46-B47)</f>
        <v>110.61000000000001</v>
      </c>
    </row>
    <row r="49" spans="1:2" ht="15.75" customHeight="1">
      <c r="A49" s="323"/>
      <c r="B49" s="324"/>
    </row>
    <row r="50" spans="1:2" ht="15.75" customHeight="1">
      <c r="A50" s="328"/>
      <c r="B50" s="1371" t="s">
        <v>776</v>
      </c>
    </row>
    <row r="51" spans="1:2" ht="15.75" customHeight="1">
      <c r="A51" s="323"/>
      <c r="B51" s="324"/>
    </row>
    <row r="52" ht="15.75" customHeight="1">
      <c r="B52" s="337"/>
    </row>
    <row r="53" spans="1:9" ht="15.75" customHeight="1">
      <c r="A53" s="344" t="s">
        <v>789</v>
      </c>
      <c r="B53" s="324"/>
      <c r="E53" s="330"/>
      <c r="F53" s="330"/>
      <c r="G53" s="330"/>
      <c r="H53" s="351"/>
      <c r="I53" s="330"/>
    </row>
    <row r="54" spans="1:9" ht="15.75" customHeight="1">
      <c r="A54" s="345" t="s">
        <v>782</v>
      </c>
      <c r="B54" s="346">
        <v>1131921.34</v>
      </c>
      <c r="H54" s="337"/>
      <c r="I54" s="337"/>
    </row>
    <row r="55" spans="1:9" ht="15.75" customHeight="1">
      <c r="A55" s="323" t="s">
        <v>790</v>
      </c>
      <c r="B55" s="324">
        <v>50000</v>
      </c>
      <c r="H55" s="337"/>
      <c r="I55" s="337"/>
    </row>
    <row r="56" spans="1:9" ht="15.75" customHeight="1">
      <c r="A56" s="323" t="s">
        <v>783</v>
      </c>
      <c r="B56" s="324">
        <v>9280017.5</v>
      </c>
      <c r="H56" s="337"/>
      <c r="I56" s="337"/>
    </row>
    <row r="57" spans="1:9" ht="15.75" customHeight="1">
      <c r="A57" s="323" t="s">
        <v>784</v>
      </c>
      <c r="B57" s="324">
        <v>5066573.7</v>
      </c>
      <c r="H57" s="337"/>
      <c r="I57" s="339"/>
    </row>
    <row r="58" spans="1:8" ht="15.75" customHeight="1">
      <c r="A58" s="323" t="s">
        <v>791</v>
      </c>
      <c r="B58" s="350">
        <v>161581.28</v>
      </c>
      <c r="H58" s="337"/>
    </row>
    <row r="59" spans="1:8" ht="15.75" customHeight="1">
      <c r="A59" s="323" t="s">
        <v>799</v>
      </c>
      <c r="B59" s="324">
        <v>28337</v>
      </c>
      <c r="H59" s="337"/>
    </row>
    <row r="60" spans="1:8" ht="15.75" customHeight="1">
      <c r="A60" s="323" t="s">
        <v>792</v>
      </c>
      <c r="B60" s="324">
        <v>3325</v>
      </c>
      <c r="H60" s="337"/>
    </row>
    <row r="61" spans="1:8" ht="15.75" customHeight="1">
      <c r="A61" s="349" t="s">
        <v>785</v>
      </c>
      <c r="B61" s="348">
        <f>SUM(B54+B55+B56-B57+B58-B59-B60)</f>
        <v>5525284.42</v>
      </c>
      <c r="H61" s="337"/>
    </row>
    <row r="62" spans="1:8" ht="15.75" customHeight="1">
      <c r="A62" s="328"/>
      <c r="B62" s="324"/>
      <c r="H62" s="337"/>
    </row>
    <row r="63" spans="1:8" ht="15.75" customHeight="1">
      <c r="A63" s="328"/>
      <c r="B63" s="324"/>
      <c r="H63" s="337"/>
    </row>
    <row r="64" spans="1:8" ht="15.75" customHeight="1">
      <c r="A64" s="354" t="s">
        <v>804</v>
      </c>
      <c r="B64" s="324"/>
      <c r="H64" s="337"/>
    </row>
    <row r="65" spans="1:8" ht="15.75" customHeight="1">
      <c r="A65" s="352" t="s">
        <v>806</v>
      </c>
      <c r="H65" s="337"/>
    </row>
    <row r="66" spans="1:8" ht="15.75" customHeight="1">
      <c r="A66" s="353" t="s">
        <v>805</v>
      </c>
      <c r="B66" s="324">
        <v>5066573.7</v>
      </c>
      <c r="F66" s="339"/>
      <c r="H66" s="339"/>
    </row>
    <row r="67" ht="15.75" customHeight="1">
      <c r="B67" s="337"/>
    </row>
    <row r="68" ht="15.75" customHeight="1">
      <c r="B68" s="337"/>
    </row>
    <row r="69" ht="15.75" customHeight="1">
      <c r="B69" s="337"/>
    </row>
    <row r="70" ht="15.75" customHeight="1">
      <c r="B70" s="337"/>
    </row>
    <row r="71" ht="15.75" customHeight="1">
      <c r="B71" s="337"/>
    </row>
    <row r="72" ht="15.75" customHeight="1">
      <c r="B72" s="337"/>
    </row>
    <row r="73" ht="15.75" customHeight="1">
      <c r="B73" s="337"/>
    </row>
    <row r="74" ht="15.75" customHeight="1">
      <c r="B74" s="337"/>
    </row>
    <row r="75" ht="15.75" customHeight="1">
      <c r="B75" s="337"/>
    </row>
    <row r="76" ht="15.75" customHeight="1">
      <c r="B76" s="337"/>
    </row>
    <row r="77" ht="15.75" customHeight="1">
      <c r="B77" s="337"/>
    </row>
    <row r="78" spans="2:5" ht="12.75">
      <c r="B78" s="337"/>
      <c r="E78" s="339"/>
    </row>
    <row r="79" ht="12.75">
      <c r="B79" s="337"/>
    </row>
    <row r="80" ht="12.75">
      <c r="B80" s="337"/>
    </row>
    <row r="81" ht="12.75">
      <c r="B81" s="337"/>
    </row>
    <row r="82" ht="12.75">
      <c r="B82" s="337"/>
    </row>
    <row r="83" ht="12.75">
      <c r="B83" s="337"/>
    </row>
    <row r="84" ht="12.75">
      <c r="B84" s="337"/>
    </row>
    <row r="85" ht="12.75">
      <c r="B85" s="337"/>
    </row>
    <row r="86" ht="12.75">
      <c r="B86" s="337"/>
    </row>
    <row r="87" ht="12.75">
      <c r="B87" s="337"/>
    </row>
    <row r="88" ht="12.75">
      <c r="B88" s="337"/>
    </row>
    <row r="89" ht="12.75">
      <c r="B89" s="337"/>
    </row>
    <row r="90" ht="12.75">
      <c r="B90" s="337"/>
    </row>
    <row r="91" ht="12.75">
      <c r="B91" s="337"/>
    </row>
    <row r="92" ht="12.75">
      <c r="B92" s="337"/>
    </row>
    <row r="93" ht="12.75">
      <c r="B93" s="337"/>
    </row>
    <row r="94" ht="12.75">
      <c r="B94" s="337"/>
    </row>
    <row r="95" ht="12.75">
      <c r="B95" s="337"/>
    </row>
    <row r="96" ht="12.75">
      <c r="B96" s="337"/>
    </row>
    <row r="97" ht="12.75">
      <c r="B97" s="337"/>
    </row>
    <row r="98" ht="12.75">
      <c r="B98" s="337"/>
    </row>
    <row r="99" ht="12.75">
      <c r="B99" s="337"/>
    </row>
  </sheetData>
  <sheetProtection/>
  <mergeCells count="1">
    <mergeCell ref="A5:B5"/>
  </mergeCells>
  <printOptions/>
  <pageMargins left="0.89" right="0.7" top="0.68" bottom="0.61" header="0.3" footer="0.3"/>
  <pageSetup horizontalDpi="600" verticalDpi="600" orientation="portrait" paperSize="9" scale="95" r:id="rId1"/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2:N54"/>
  <sheetViews>
    <sheetView tabSelected="1" zoomScalePageLayoutView="0" workbookViewId="0" topLeftCell="V1">
      <selection activeCell="O25" sqref="O25"/>
    </sheetView>
  </sheetViews>
  <sheetFormatPr defaultColWidth="9.00390625" defaultRowHeight="12.75"/>
  <cols>
    <col min="1" max="1" width="22.125" style="0" customWidth="1"/>
    <col min="2" max="2" width="22.375" style="0" customWidth="1"/>
    <col min="3" max="3" width="31.375" style="0" customWidth="1"/>
    <col min="4" max="4" width="16.75390625" style="0" customWidth="1"/>
    <col min="5" max="6" width="14.75390625" style="0" customWidth="1"/>
    <col min="7" max="7" width="17.00390625" style="51" customWidth="1"/>
    <col min="8" max="8" width="16.375" style="0" customWidth="1"/>
    <col min="10" max="11" width="11.125" style="0" bestFit="1" customWidth="1"/>
    <col min="13" max="13" width="11.375" style="0" customWidth="1"/>
  </cols>
  <sheetData>
    <row r="1" ht="15" customHeight="1"/>
    <row r="2" spans="1:8" ht="18">
      <c r="A2" s="1450" t="s">
        <v>167</v>
      </c>
      <c r="B2" s="1450"/>
      <c r="C2" s="1450"/>
      <c r="D2" s="1450"/>
      <c r="H2" s="1365" t="s">
        <v>227</v>
      </c>
    </row>
    <row r="3" spans="1:7" ht="15" customHeight="1">
      <c r="A3" s="1030"/>
      <c r="B3" s="1030"/>
      <c r="C3" s="1030"/>
      <c r="D3" s="1030"/>
      <c r="E3" s="1030"/>
      <c r="F3" s="1030"/>
      <c r="G3" s="1030"/>
    </row>
    <row r="4" spans="1:8" s="182" customFormat="1" ht="25.5" customHeight="1">
      <c r="A4" s="1451" t="s">
        <v>228</v>
      </c>
      <c r="B4" s="1451"/>
      <c r="C4" s="1451"/>
      <c r="D4" s="1451"/>
      <c r="E4" s="1451"/>
      <c r="F4" s="1451"/>
      <c r="G4" s="1451"/>
      <c r="H4" s="1361" t="s">
        <v>777</v>
      </c>
    </row>
    <row r="5" spans="1:8" ht="18.75" thickBot="1">
      <c r="A5" s="959" t="s">
        <v>224</v>
      </c>
      <c r="C5" s="51"/>
      <c r="D5" s="51"/>
      <c r="E5" s="51"/>
      <c r="H5" s="51"/>
    </row>
    <row r="6" spans="1:8" ht="15.75" customHeight="1">
      <c r="A6" s="1446" t="s">
        <v>189</v>
      </c>
      <c r="B6" s="1446" t="s">
        <v>229</v>
      </c>
      <c r="C6" s="1448" t="s">
        <v>188</v>
      </c>
      <c r="D6" s="1448" t="s">
        <v>230</v>
      </c>
      <c r="E6" s="1448" t="s">
        <v>235</v>
      </c>
      <c r="F6" s="1446" t="s">
        <v>232</v>
      </c>
      <c r="G6" s="1448" t="s">
        <v>233</v>
      </c>
      <c r="H6" s="1448" t="s">
        <v>234</v>
      </c>
    </row>
    <row r="7" spans="1:8" ht="24" customHeight="1" thickBot="1">
      <c r="A7" s="1447"/>
      <c r="B7" s="1447"/>
      <c r="C7" s="1449"/>
      <c r="D7" s="1449"/>
      <c r="E7" s="1449"/>
      <c r="F7" s="1447"/>
      <c r="G7" s="1449"/>
      <c r="H7" s="1449"/>
    </row>
    <row r="8" spans="1:8" ht="15.75" customHeight="1">
      <c r="A8" s="964" t="s">
        <v>192</v>
      </c>
      <c r="B8" s="965" t="s">
        <v>217</v>
      </c>
      <c r="C8" s="966" t="s">
        <v>223</v>
      </c>
      <c r="D8" s="966">
        <v>42000000</v>
      </c>
      <c r="E8" s="1009" t="s">
        <v>222</v>
      </c>
      <c r="F8" s="967">
        <v>2011</v>
      </c>
      <c r="G8" s="966">
        <v>5000000</v>
      </c>
      <c r="H8" s="966">
        <v>8665924</v>
      </c>
    </row>
    <row r="9" spans="1:8" ht="15.75" customHeight="1">
      <c r="A9" s="968" t="s">
        <v>192</v>
      </c>
      <c r="B9" s="969" t="s">
        <v>217</v>
      </c>
      <c r="C9" s="970" t="s">
        <v>219</v>
      </c>
      <c r="D9" s="971">
        <v>249623164</v>
      </c>
      <c r="E9" s="1010" t="s">
        <v>185</v>
      </c>
      <c r="F9" s="969">
        <v>2024</v>
      </c>
      <c r="G9" s="971">
        <v>14100000</v>
      </c>
      <c r="H9" s="970">
        <f>230623164-1175000</f>
        <v>229448164</v>
      </c>
    </row>
    <row r="10" spans="1:8" ht="15.75" customHeight="1">
      <c r="A10" s="968" t="s">
        <v>192</v>
      </c>
      <c r="B10" s="969" t="s">
        <v>217</v>
      </c>
      <c r="C10" s="970" t="s">
        <v>219</v>
      </c>
      <c r="D10" s="971">
        <v>250000000</v>
      </c>
      <c r="E10" s="1010" t="s">
        <v>185</v>
      </c>
      <c r="F10" s="969">
        <v>2024</v>
      </c>
      <c r="G10" s="971">
        <v>14078873</v>
      </c>
      <c r="H10" s="971">
        <v>232301408</v>
      </c>
    </row>
    <row r="11" spans="1:8" ht="15.75" customHeight="1">
      <c r="A11" s="972" t="s">
        <v>192</v>
      </c>
      <c r="B11" s="969" t="s">
        <v>217</v>
      </c>
      <c r="C11" s="970" t="s">
        <v>219</v>
      </c>
      <c r="D11" s="971">
        <v>110000000</v>
      </c>
      <c r="E11" s="1010" t="s">
        <v>181</v>
      </c>
      <c r="F11" s="969">
        <v>2020</v>
      </c>
      <c r="G11" s="971">
        <f>705000*12</f>
        <v>8460000</v>
      </c>
      <c r="H11" s="971">
        <v>110000000</v>
      </c>
    </row>
    <row r="12" spans="1:10" ht="15.75" customHeight="1">
      <c r="A12" s="973" t="s">
        <v>221</v>
      </c>
      <c r="B12" s="967" t="s">
        <v>220</v>
      </c>
      <c r="C12" s="970" t="s">
        <v>219</v>
      </c>
      <c r="D12" s="974">
        <v>290000000</v>
      </c>
      <c r="E12" s="1011" t="s">
        <v>218</v>
      </c>
      <c r="F12" s="967">
        <v>2022</v>
      </c>
      <c r="G12" s="974">
        <v>10000000</v>
      </c>
      <c r="H12" s="974">
        <v>143333320</v>
      </c>
      <c r="I12" s="958"/>
      <c r="J12" s="957"/>
    </row>
    <row r="13" spans="1:10" ht="15.75" customHeight="1">
      <c r="A13" s="973" t="s">
        <v>192</v>
      </c>
      <c r="B13" s="967" t="s">
        <v>217</v>
      </c>
      <c r="C13" s="974" t="s">
        <v>216</v>
      </c>
      <c r="D13" s="975">
        <v>90000000</v>
      </c>
      <c r="E13" s="1012" t="s">
        <v>215</v>
      </c>
      <c r="F13" s="976">
        <v>2021</v>
      </c>
      <c r="G13" s="970">
        <v>6000000</v>
      </c>
      <c r="H13" s="974">
        <v>84000000</v>
      </c>
      <c r="I13" s="958"/>
      <c r="J13" s="957"/>
    </row>
    <row r="14" spans="1:11" ht="15.75" customHeight="1" thickBot="1">
      <c r="A14" s="1017" t="str">
        <f>A8</f>
        <v>Dexia banka a.s.</v>
      </c>
      <c r="B14" s="977" t="str">
        <f>B8</f>
        <v>dlhodobý  inves.</v>
      </c>
      <c r="C14" s="978" t="s">
        <v>214</v>
      </c>
      <c r="D14" s="979">
        <v>135227603</v>
      </c>
      <c r="E14" s="1013" t="s">
        <v>213</v>
      </c>
      <c r="F14" s="980">
        <v>2022</v>
      </c>
      <c r="G14" s="971">
        <f>759705*12</f>
        <v>9116460</v>
      </c>
      <c r="H14" s="978">
        <v>135227603</v>
      </c>
      <c r="I14" s="958"/>
      <c r="J14" s="957"/>
      <c r="K14" s="51"/>
    </row>
    <row r="15" spans="1:10" s="182" customFormat="1" ht="20.25" customHeight="1" thickBot="1">
      <c r="A15" s="1031" t="str">
        <f>A34</f>
        <v>SPOLU</v>
      </c>
      <c r="B15" s="1032" t="s">
        <v>39</v>
      </c>
      <c r="C15" s="1033" t="s">
        <v>39</v>
      </c>
      <c r="D15" s="1034">
        <f>SUM(D8:D14)</f>
        <v>1166850767</v>
      </c>
      <c r="E15" s="1035" t="s">
        <v>39</v>
      </c>
      <c r="F15" s="1036" t="s">
        <v>39</v>
      </c>
      <c r="G15" s="1034">
        <f>SUM(G8:G14)</f>
        <v>66755333</v>
      </c>
      <c r="H15" s="1034">
        <f>SUM(H8:H14)</f>
        <v>942976419</v>
      </c>
      <c r="I15" s="204"/>
      <c r="J15" s="204"/>
    </row>
    <row r="16" spans="1:10" ht="12.75">
      <c r="A16" s="951"/>
      <c r="B16" s="951"/>
      <c r="C16" s="954"/>
      <c r="D16" s="956"/>
      <c r="E16" s="956"/>
      <c r="F16" s="951"/>
      <c r="G16" s="955"/>
      <c r="H16" s="954"/>
      <c r="J16" s="51"/>
    </row>
    <row r="17" spans="1:8" ht="18.75" thickBot="1">
      <c r="A17" s="960" t="s">
        <v>212</v>
      </c>
      <c r="B17" s="948"/>
      <c r="C17" s="952"/>
      <c r="D17" s="952"/>
      <c r="E17" s="952"/>
      <c r="F17" s="953"/>
      <c r="G17" s="952"/>
      <c r="H17" s="952"/>
    </row>
    <row r="18" spans="1:8" s="944" customFormat="1" ht="15.75" customHeight="1">
      <c r="A18" s="1446" t="s">
        <v>189</v>
      </c>
      <c r="B18" s="1446" t="s">
        <v>229</v>
      </c>
      <c r="C18" s="1448" t="s">
        <v>188</v>
      </c>
      <c r="D18" s="1448" t="s">
        <v>230</v>
      </c>
      <c r="E18" s="1448" t="s">
        <v>235</v>
      </c>
      <c r="F18" s="1446" t="s">
        <v>232</v>
      </c>
      <c r="G18" s="1448" t="s">
        <v>233</v>
      </c>
      <c r="H18" s="1448" t="s">
        <v>234</v>
      </c>
    </row>
    <row r="19" spans="1:8" s="944" customFormat="1" ht="24" customHeight="1" thickBot="1">
      <c r="A19" s="1447"/>
      <c r="B19" s="1447"/>
      <c r="C19" s="1449"/>
      <c r="D19" s="1449"/>
      <c r="E19" s="1449"/>
      <c r="F19" s="1447"/>
      <c r="G19" s="1449"/>
      <c r="H19" s="1449"/>
    </row>
    <row r="20" spans="1:8" ht="15.75" customHeight="1">
      <c r="A20" s="982" t="s">
        <v>197</v>
      </c>
      <c r="B20" s="983" t="s">
        <v>211</v>
      </c>
      <c r="C20" s="966" t="s">
        <v>195</v>
      </c>
      <c r="D20" s="984">
        <v>15713000</v>
      </c>
      <c r="E20" s="984">
        <v>2001</v>
      </c>
      <c r="F20" s="965">
        <v>2031</v>
      </c>
      <c r="G20" s="985">
        <f>78685*12</f>
        <v>944220</v>
      </c>
      <c r="H20" s="984">
        <f>14367775.6-26003.16</f>
        <v>14341772.44</v>
      </c>
    </row>
    <row r="21" spans="1:8" ht="15.75" customHeight="1">
      <c r="A21" s="976" t="s">
        <v>197</v>
      </c>
      <c r="B21" s="986" t="s">
        <v>210</v>
      </c>
      <c r="C21" s="974" t="s">
        <v>195</v>
      </c>
      <c r="D21" s="974">
        <v>27795000</v>
      </c>
      <c r="E21" s="974">
        <v>2001</v>
      </c>
      <c r="F21" s="967">
        <v>2031</v>
      </c>
      <c r="G21" s="987">
        <f>139187*12</f>
        <v>1670244</v>
      </c>
      <c r="H21" s="974">
        <f>25415429-45997</f>
        <v>25369432</v>
      </c>
    </row>
    <row r="22" spans="1:8" ht="15.75" customHeight="1">
      <c r="A22" s="976" t="s">
        <v>197</v>
      </c>
      <c r="B22" s="986" t="s">
        <v>209</v>
      </c>
      <c r="C22" s="974" t="s">
        <v>195</v>
      </c>
      <c r="D22" s="974">
        <v>10481000</v>
      </c>
      <c r="E22" s="974">
        <v>2001</v>
      </c>
      <c r="F22" s="967">
        <v>2031</v>
      </c>
      <c r="G22" s="987">
        <f>52485*12</f>
        <v>629820</v>
      </c>
      <c r="H22" s="974">
        <f>9583701-17344</f>
        <v>9566357</v>
      </c>
    </row>
    <row r="23" spans="1:13" ht="15.75" customHeight="1">
      <c r="A23" s="976" t="s">
        <v>197</v>
      </c>
      <c r="B23" s="986" t="s">
        <v>208</v>
      </c>
      <c r="C23" s="974" t="s">
        <v>195</v>
      </c>
      <c r="D23" s="974">
        <v>50992000</v>
      </c>
      <c r="E23" s="974">
        <v>2002</v>
      </c>
      <c r="F23" s="967">
        <v>2032</v>
      </c>
      <c r="G23" s="987">
        <f>240514*12</f>
        <v>2886168</v>
      </c>
      <c r="H23" s="974">
        <f>46812248-88374</f>
        <v>46723874</v>
      </c>
      <c r="M23" s="51"/>
    </row>
    <row r="24" spans="1:14" ht="15.75" customHeight="1">
      <c r="A24" s="969" t="s">
        <v>201</v>
      </c>
      <c r="B24" s="988" t="s">
        <v>207</v>
      </c>
      <c r="C24" s="974" t="s">
        <v>195</v>
      </c>
      <c r="D24" s="978">
        <v>33264000</v>
      </c>
      <c r="E24" s="978">
        <v>2004</v>
      </c>
      <c r="F24" s="989">
        <v>2034</v>
      </c>
      <c r="G24" s="990">
        <v>1320888</v>
      </c>
      <c r="H24" s="978">
        <f>30210785-79863</f>
        <v>30130922</v>
      </c>
      <c r="M24" s="51"/>
      <c r="N24" s="51"/>
    </row>
    <row r="25" spans="1:8" ht="15.75" customHeight="1">
      <c r="A25" s="969" t="s">
        <v>201</v>
      </c>
      <c r="B25" s="988" t="s">
        <v>206</v>
      </c>
      <c r="C25" s="974" t="s">
        <v>195</v>
      </c>
      <c r="D25" s="978">
        <v>57640000</v>
      </c>
      <c r="E25" s="978">
        <v>2005</v>
      </c>
      <c r="F25" s="989">
        <v>2035</v>
      </c>
      <c r="G25" s="990">
        <v>2224728</v>
      </c>
      <c r="H25" s="978">
        <f>53890803-140485</f>
        <v>53750318</v>
      </c>
    </row>
    <row r="26" spans="1:8" ht="15.75" customHeight="1">
      <c r="A26" s="969" t="s">
        <v>201</v>
      </c>
      <c r="B26" s="988" t="s">
        <v>205</v>
      </c>
      <c r="C26" s="974" t="s">
        <v>195</v>
      </c>
      <c r="D26" s="978">
        <v>38457000</v>
      </c>
      <c r="E26" s="978">
        <v>2005</v>
      </c>
      <c r="F26" s="989">
        <v>2035</v>
      </c>
      <c r="G26" s="990">
        <v>1484316</v>
      </c>
      <c r="H26" s="978">
        <f>35955578-93730</f>
        <v>35861848</v>
      </c>
    </row>
    <row r="27" spans="1:8" ht="15.75" customHeight="1">
      <c r="A27" s="969" t="s">
        <v>201</v>
      </c>
      <c r="B27" s="988" t="s">
        <v>204</v>
      </c>
      <c r="C27" s="974" t="s">
        <v>195</v>
      </c>
      <c r="D27" s="978">
        <v>38457000</v>
      </c>
      <c r="E27" s="978">
        <v>2005</v>
      </c>
      <c r="F27" s="989">
        <v>2035</v>
      </c>
      <c r="G27" s="990">
        <v>1484316</v>
      </c>
      <c r="H27" s="978">
        <f>35955578-93730</f>
        <v>35861848</v>
      </c>
    </row>
    <row r="28" spans="1:8" ht="15.75" customHeight="1">
      <c r="A28" s="969" t="s">
        <v>201</v>
      </c>
      <c r="B28" s="988" t="s">
        <v>203</v>
      </c>
      <c r="C28" s="974" t="s">
        <v>195</v>
      </c>
      <c r="D28" s="978">
        <v>17710000</v>
      </c>
      <c r="E28" s="978">
        <v>2004</v>
      </c>
      <c r="F28" s="989">
        <v>2034</v>
      </c>
      <c r="G28" s="990">
        <v>703248</v>
      </c>
      <c r="H28" s="978">
        <v>16126932</v>
      </c>
    </row>
    <row r="29" spans="1:8" ht="15.75" customHeight="1">
      <c r="A29" s="969" t="s">
        <v>201</v>
      </c>
      <c r="B29" s="988" t="s">
        <v>202</v>
      </c>
      <c r="C29" s="974" t="s">
        <v>195</v>
      </c>
      <c r="D29" s="978">
        <v>59226000</v>
      </c>
      <c r="E29" s="978">
        <v>2006</v>
      </c>
      <c r="F29" s="989">
        <v>2036</v>
      </c>
      <c r="G29" s="990">
        <v>2285940</v>
      </c>
      <c r="H29" s="978">
        <v>56810557</v>
      </c>
    </row>
    <row r="30" spans="1:8" ht="15.75" customHeight="1">
      <c r="A30" s="976" t="s">
        <v>201</v>
      </c>
      <c r="B30" s="986" t="s">
        <v>200</v>
      </c>
      <c r="C30" s="974" t="s">
        <v>195</v>
      </c>
      <c r="D30" s="974">
        <v>30364000</v>
      </c>
      <c r="E30" s="974">
        <v>2006</v>
      </c>
      <c r="F30" s="967">
        <v>2036</v>
      </c>
      <c r="G30" s="987">
        <v>1171956</v>
      </c>
      <c r="H30" s="974">
        <v>29125651</v>
      </c>
    </row>
    <row r="31" spans="1:8" ht="15.75" customHeight="1">
      <c r="A31" s="991" t="s">
        <v>197</v>
      </c>
      <c r="B31" s="992" t="s">
        <v>199</v>
      </c>
      <c r="C31" s="974" t="s">
        <v>195</v>
      </c>
      <c r="D31" s="966">
        <v>33109000</v>
      </c>
      <c r="E31" s="966">
        <v>2007</v>
      </c>
      <c r="F31" s="993">
        <v>2037</v>
      </c>
      <c r="G31" s="994">
        <v>1277904</v>
      </c>
      <c r="H31" s="966">
        <f>32862148-79106</f>
        <v>32783042</v>
      </c>
    </row>
    <row r="32" spans="1:8" ht="15.75" customHeight="1">
      <c r="A32" s="991" t="s">
        <v>197</v>
      </c>
      <c r="B32" s="986" t="s">
        <v>198</v>
      </c>
      <c r="C32" s="974" t="s">
        <v>195</v>
      </c>
      <c r="D32" s="974">
        <v>21944000</v>
      </c>
      <c r="E32" s="974">
        <v>2007</v>
      </c>
      <c r="F32" s="967">
        <v>2037</v>
      </c>
      <c r="G32" s="987">
        <v>846972</v>
      </c>
      <c r="H32" s="974">
        <f>21829727-52389</f>
        <v>21777338</v>
      </c>
    </row>
    <row r="33" spans="1:8" ht="15.75" customHeight="1" thickBot="1">
      <c r="A33" s="991" t="s">
        <v>197</v>
      </c>
      <c r="B33" s="995" t="s">
        <v>196</v>
      </c>
      <c r="C33" s="974" t="s">
        <v>195</v>
      </c>
      <c r="D33" s="996">
        <v>32202333</v>
      </c>
      <c r="E33" s="996">
        <v>2007</v>
      </c>
      <c r="F33" s="997">
        <v>2037</v>
      </c>
      <c r="G33" s="998">
        <v>1693944</v>
      </c>
      <c r="H33" s="996">
        <v>40597047.91</v>
      </c>
    </row>
    <row r="34" spans="1:8" s="182" customFormat="1" ht="20.25" customHeight="1" thickBot="1">
      <c r="A34" s="1032" t="s">
        <v>627</v>
      </c>
      <c r="B34" s="1037" t="s">
        <v>39</v>
      </c>
      <c r="C34" s="1034" t="s">
        <v>39</v>
      </c>
      <c r="D34" s="1034">
        <f>SUM(D20:D33)</f>
        <v>467354333</v>
      </c>
      <c r="E34" s="1034" t="s">
        <v>39</v>
      </c>
      <c r="F34" s="1032" t="s">
        <v>39</v>
      </c>
      <c r="G34" s="1038">
        <f>SUM(G20:G33)</f>
        <v>20624664</v>
      </c>
      <c r="H34" s="1034">
        <f>SUM(H20:H33)</f>
        <v>448826939.35</v>
      </c>
    </row>
    <row r="35" spans="1:8" ht="15.75" customHeight="1">
      <c r="A35" s="491"/>
      <c r="B35" s="950"/>
      <c r="C35" s="949"/>
      <c r="D35" s="949"/>
      <c r="E35" s="949"/>
      <c r="F35" s="950"/>
      <c r="G35" s="949"/>
      <c r="H35" s="949"/>
    </row>
    <row r="36" spans="1:8" ht="15.75" customHeight="1">
      <c r="A36" s="491"/>
      <c r="B36" s="950"/>
      <c r="C36" s="949"/>
      <c r="D36" s="949"/>
      <c r="E36" s="949"/>
      <c r="F36" s="950"/>
      <c r="G36" s="949"/>
      <c r="H36" s="949"/>
    </row>
    <row r="37" spans="1:8" ht="15.75" customHeight="1">
      <c r="A37" s="491"/>
      <c r="B37" s="950"/>
      <c r="C37" s="949"/>
      <c r="D37" s="949"/>
      <c r="E37" s="949"/>
      <c r="F37" s="950"/>
      <c r="G37" s="949"/>
      <c r="H37" s="1368" t="s">
        <v>776</v>
      </c>
    </row>
    <row r="38" spans="1:8" ht="18.75" thickBot="1">
      <c r="A38" s="961" t="s">
        <v>194</v>
      </c>
      <c r="B38" s="491"/>
      <c r="C38" s="947"/>
      <c r="D38" s="947"/>
      <c r="E38" s="947"/>
      <c r="F38" s="491"/>
      <c r="G38" s="947"/>
      <c r="H38" s="947"/>
    </row>
    <row r="39" spans="1:8" s="944" customFormat="1" ht="15.75">
      <c r="A39" s="1446" t="s">
        <v>193</v>
      </c>
      <c r="B39" s="1446" t="s">
        <v>242</v>
      </c>
      <c r="C39" s="1448" t="s">
        <v>188</v>
      </c>
      <c r="D39" s="1448" t="s">
        <v>243</v>
      </c>
      <c r="E39" s="1448" t="s">
        <v>235</v>
      </c>
      <c r="F39" s="1446" t="s">
        <v>244</v>
      </c>
      <c r="G39" s="1448" t="s">
        <v>245</v>
      </c>
      <c r="H39" s="963" t="s">
        <v>187</v>
      </c>
    </row>
    <row r="40" spans="1:8" s="944" customFormat="1" ht="24" customHeight="1" thickBot="1">
      <c r="A40" s="1447"/>
      <c r="B40" s="1447"/>
      <c r="C40" s="1449"/>
      <c r="D40" s="1449"/>
      <c r="E40" s="1449"/>
      <c r="F40" s="1447"/>
      <c r="G40" s="1449"/>
      <c r="H40" s="981"/>
    </row>
    <row r="41" spans="1:8" ht="15.75" customHeight="1" thickBot="1">
      <c r="A41" s="977" t="s">
        <v>192</v>
      </c>
      <c r="B41" s="999">
        <v>37872</v>
      </c>
      <c r="C41" s="1000" t="s">
        <v>191</v>
      </c>
      <c r="D41" s="1000">
        <v>100000000</v>
      </c>
      <c r="E41" s="1015">
        <v>37872</v>
      </c>
      <c r="F41" s="999">
        <v>39699</v>
      </c>
      <c r="G41" s="1001">
        <v>40000000</v>
      </c>
      <c r="H41" s="1000">
        <v>100000000</v>
      </c>
    </row>
    <row r="42" spans="1:8" s="182" customFormat="1" ht="20.25" customHeight="1" thickBot="1">
      <c r="A42" s="1031" t="s">
        <v>627</v>
      </c>
      <c r="B42" s="1032" t="s">
        <v>39</v>
      </c>
      <c r="C42" s="1033" t="s">
        <v>39</v>
      </c>
      <c r="D42" s="1034">
        <f>SUM(D41)</f>
        <v>100000000</v>
      </c>
      <c r="E42" s="1035" t="s">
        <v>39</v>
      </c>
      <c r="F42" s="1036" t="s">
        <v>39</v>
      </c>
      <c r="G42" s="1034" t="s">
        <v>39</v>
      </c>
      <c r="H42" s="1033">
        <f>SUM(H41)</f>
        <v>100000000</v>
      </c>
    </row>
    <row r="43" spans="1:7" ht="12.75">
      <c r="A43" s="946"/>
      <c r="B43" s="945"/>
      <c r="D43" s="945"/>
      <c r="E43" s="945"/>
      <c r="F43" s="945"/>
      <c r="G43" s="945"/>
    </row>
    <row r="44" spans="1:7" s="182" customFormat="1" ht="18.75" thickBot="1">
      <c r="A44" s="962" t="s">
        <v>190</v>
      </c>
      <c r="G44" s="204"/>
    </row>
    <row r="45" spans="1:8" s="944" customFormat="1" ht="15.75" customHeight="1">
      <c r="A45" s="1446" t="s">
        <v>189</v>
      </c>
      <c r="B45" s="1446" t="s">
        <v>236</v>
      </c>
      <c r="C45" s="1448" t="s">
        <v>188</v>
      </c>
      <c r="D45" s="1448" t="s">
        <v>237</v>
      </c>
      <c r="E45" s="1448" t="s">
        <v>231</v>
      </c>
      <c r="F45" s="1446" t="s">
        <v>244</v>
      </c>
      <c r="G45" s="1448" t="s">
        <v>39</v>
      </c>
      <c r="H45" s="1448" t="s">
        <v>238</v>
      </c>
    </row>
    <row r="46" spans="1:8" s="944" customFormat="1" ht="24" customHeight="1" thickBot="1">
      <c r="A46" s="1447"/>
      <c r="B46" s="1447"/>
      <c r="C46" s="1449"/>
      <c r="D46" s="1449"/>
      <c r="E46" s="1449"/>
      <c r="F46" s="1447"/>
      <c r="G46" s="1449"/>
      <c r="H46" s="1449"/>
    </row>
    <row r="47" spans="1:8" ht="15.75" customHeight="1">
      <c r="A47" s="964" t="s">
        <v>184</v>
      </c>
      <c r="B47" s="964" t="s">
        <v>183</v>
      </c>
      <c r="C47" s="966" t="s">
        <v>186</v>
      </c>
      <c r="D47" s="966">
        <v>827000000</v>
      </c>
      <c r="E47" s="1016" t="s">
        <v>185</v>
      </c>
      <c r="F47" s="1002">
        <v>39629</v>
      </c>
      <c r="G47" s="966"/>
      <c r="H47" s="966">
        <f>D47</f>
        <v>827000000</v>
      </c>
    </row>
    <row r="48" spans="1:8" ht="15.75" customHeight="1" thickBot="1">
      <c r="A48" s="1003" t="s">
        <v>184</v>
      </c>
      <c r="B48" s="1004" t="s">
        <v>183</v>
      </c>
      <c r="C48" s="1005" t="s">
        <v>182</v>
      </c>
      <c r="D48" s="1006">
        <v>529408000</v>
      </c>
      <c r="E48" s="1014" t="s">
        <v>181</v>
      </c>
      <c r="F48" s="1007">
        <v>39994</v>
      </c>
      <c r="G48" s="1008"/>
      <c r="H48" s="1005">
        <f>D48</f>
        <v>529408000</v>
      </c>
    </row>
    <row r="49" spans="1:8" s="182" customFormat="1" ht="20.25" customHeight="1" thickBot="1">
      <c r="A49" s="1031" t="s">
        <v>627</v>
      </c>
      <c r="B49" s="1032" t="s">
        <v>39</v>
      </c>
      <c r="C49" s="1033" t="s">
        <v>39</v>
      </c>
      <c r="D49" s="1034">
        <f>SUM(D47:D48)</f>
        <v>1356408000</v>
      </c>
      <c r="E49" s="1039" t="s">
        <v>39</v>
      </c>
      <c r="F49" s="1040" t="s">
        <v>39</v>
      </c>
      <c r="G49" s="1041" t="s">
        <v>39</v>
      </c>
      <c r="H49" s="1034">
        <f>SUM(H47:H48)</f>
        <v>1356408000</v>
      </c>
    </row>
    <row r="53" spans="3:8" ht="12.75">
      <c r="C53" s="51"/>
      <c r="H53" s="51"/>
    </row>
    <row r="54" spans="7:8" ht="12.75">
      <c r="G54"/>
      <c r="H54" s="51"/>
    </row>
  </sheetData>
  <sheetProtection/>
  <mergeCells count="33">
    <mergeCell ref="A2:D2"/>
    <mergeCell ref="A6:A7"/>
    <mergeCell ref="B6:B7"/>
    <mergeCell ref="G6:G7"/>
    <mergeCell ref="A4:G4"/>
    <mergeCell ref="H6:H7"/>
    <mergeCell ref="B39:B40"/>
    <mergeCell ref="D39:D40"/>
    <mergeCell ref="F39:F40"/>
    <mergeCell ref="G18:G19"/>
    <mergeCell ref="C6:C7"/>
    <mergeCell ref="D6:D7"/>
    <mergeCell ref="E6:E7"/>
    <mergeCell ref="F6:F7"/>
    <mergeCell ref="H18:H19"/>
    <mergeCell ref="E18:E19"/>
    <mergeCell ref="F18:F19"/>
    <mergeCell ref="C45:C46"/>
    <mergeCell ref="C39:C40"/>
    <mergeCell ref="D18:D19"/>
    <mergeCell ref="E45:E46"/>
    <mergeCell ref="H45:H46"/>
    <mergeCell ref="E39:E40"/>
    <mergeCell ref="G45:G46"/>
    <mergeCell ref="B45:B46"/>
    <mergeCell ref="D45:D46"/>
    <mergeCell ref="F45:F46"/>
    <mergeCell ref="G39:G40"/>
    <mergeCell ref="A45:A46"/>
    <mergeCell ref="A18:A19"/>
    <mergeCell ref="B18:B19"/>
    <mergeCell ref="C18:C19"/>
    <mergeCell ref="A39:A40"/>
  </mergeCells>
  <printOptions/>
  <pageMargins left="1.01" right="0.65" top="0.84" bottom="0.984251968503937" header="0.5118110236220472" footer="0.5118110236220472"/>
  <pageSetup horizontalDpi="600" verticalDpi="600" orientation="landscape" paperSize="9" scale="80" r:id="rId3"/>
  <rowBreaks count="1" manualBreakCount="1">
    <brk id="34" max="255" man="1"/>
  </rowBreaks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627"/>
  <sheetViews>
    <sheetView zoomScaleSheetLayoutView="100" workbookViewId="0" topLeftCell="A570">
      <selection activeCell="H578" sqref="H578"/>
    </sheetView>
  </sheetViews>
  <sheetFormatPr defaultColWidth="58.625" defaultRowHeight="12.75"/>
  <cols>
    <col min="1" max="1" width="11.875" style="91" customWidth="1"/>
    <col min="2" max="2" width="9.25390625" style="92" customWidth="1"/>
    <col min="3" max="3" width="51.125" style="93" customWidth="1"/>
    <col min="4" max="4" width="14.875" style="228" customWidth="1"/>
    <col min="5" max="6" width="14.875" style="94" customWidth="1"/>
    <col min="7" max="7" width="12.375" style="0" customWidth="1"/>
    <col min="8" max="8" width="13.75390625" style="0" customWidth="1"/>
  </cols>
  <sheetData>
    <row r="1" spans="1:6" ht="15">
      <c r="A1" s="1"/>
      <c r="B1" s="2"/>
      <c r="C1" s="3"/>
      <c r="D1" s="205"/>
      <c r="E1" s="4"/>
      <c r="F1" s="4"/>
    </row>
    <row r="2" spans="1:6" ht="20.25">
      <c r="A2" s="5" t="s">
        <v>650</v>
      </c>
      <c r="B2" s="6"/>
      <c r="C2" s="6"/>
      <c r="D2" s="206"/>
      <c r="E2" s="8"/>
      <c r="F2" s="8" t="s">
        <v>745</v>
      </c>
    </row>
    <row r="3" spans="1:6" ht="15.75" customHeight="1">
      <c r="A3" s="5"/>
      <c r="B3" s="6"/>
      <c r="C3" s="6"/>
      <c r="D3" s="206"/>
      <c r="E3" s="493"/>
      <c r="F3" s="493" t="s">
        <v>386</v>
      </c>
    </row>
    <row r="4" spans="1:6" ht="16.5" thickBot="1">
      <c r="A4" s="1"/>
      <c r="B4" s="2"/>
      <c r="C4" s="3"/>
      <c r="D4" s="205"/>
      <c r="E4" s="9"/>
      <c r="F4" s="8" t="s">
        <v>746</v>
      </c>
    </row>
    <row r="5" spans="1:6" ht="51.75" customHeight="1" thickBot="1">
      <c r="A5" s="300" t="s">
        <v>387</v>
      </c>
      <c r="B5" s="310"/>
      <c r="C5" s="311"/>
      <c r="D5" s="289" t="s">
        <v>388</v>
      </c>
      <c r="E5" s="282" t="s">
        <v>390</v>
      </c>
      <c r="F5" s="314" t="s">
        <v>649</v>
      </c>
    </row>
    <row r="6" spans="1:6" ht="15.75" customHeight="1">
      <c r="A6" s="256" t="s">
        <v>743</v>
      </c>
      <c r="B6" s="257" t="s">
        <v>498</v>
      </c>
      <c r="C6" s="200"/>
      <c r="D6" s="207">
        <f>D7+D8+D9+D50</f>
        <v>92186</v>
      </c>
      <c r="E6" s="13">
        <f>E7+E8+E9+E50</f>
        <v>126264</v>
      </c>
      <c r="F6" s="315">
        <f>F7+F8+F9+F50</f>
        <v>179228</v>
      </c>
    </row>
    <row r="7" spans="1:6" ht="15.75" customHeight="1">
      <c r="A7" s="15"/>
      <c r="B7" s="16">
        <v>610</v>
      </c>
      <c r="C7" s="17" t="s">
        <v>391</v>
      </c>
      <c r="D7" s="208">
        <f>38118+316</f>
        <v>38434</v>
      </c>
      <c r="E7" s="18">
        <f>38118+316</f>
        <v>38434</v>
      </c>
      <c r="F7" s="253">
        <v>39925</v>
      </c>
    </row>
    <row r="8" spans="1:6" ht="15.75" customHeight="1">
      <c r="A8" s="19"/>
      <c r="B8" s="20">
        <v>620</v>
      </c>
      <c r="C8" s="17" t="s">
        <v>392</v>
      </c>
      <c r="D8" s="208">
        <f>13322+170</f>
        <v>13492</v>
      </c>
      <c r="E8" s="18">
        <f>13322+170+2</f>
        <v>13494</v>
      </c>
      <c r="F8" s="253">
        <v>13272</v>
      </c>
    </row>
    <row r="9" spans="1:6" ht="15.75" customHeight="1">
      <c r="A9" s="21"/>
      <c r="B9" s="16">
        <v>630</v>
      </c>
      <c r="C9" s="22" t="s">
        <v>393</v>
      </c>
      <c r="D9" s="208">
        <f>D10+D11+D12+D25+D27+D28+D29</f>
        <v>39160</v>
      </c>
      <c r="E9" s="18">
        <f>E10+E11+E12+E25+E27+E28+E29</f>
        <v>73016</v>
      </c>
      <c r="F9" s="253">
        <f>F10+F11+F12+F25+F27+F28+F29</f>
        <v>124777</v>
      </c>
    </row>
    <row r="10" spans="1:6" ht="15.75" customHeight="1">
      <c r="A10" s="21" t="s">
        <v>394</v>
      </c>
      <c r="B10" s="16">
        <v>631</v>
      </c>
      <c r="C10" s="22" t="s">
        <v>395</v>
      </c>
      <c r="D10" s="208">
        <v>860</v>
      </c>
      <c r="E10" s="18">
        <f>860-300</f>
        <v>560</v>
      </c>
      <c r="F10" s="253">
        <v>298</v>
      </c>
    </row>
    <row r="11" spans="1:6" ht="15.75" customHeight="1">
      <c r="A11" s="21"/>
      <c r="B11" s="16">
        <v>632</v>
      </c>
      <c r="C11" s="17" t="s">
        <v>396</v>
      </c>
      <c r="D11" s="208">
        <f>6000+1000</f>
        <v>7000</v>
      </c>
      <c r="E11" s="18">
        <f>6000+1000</f>
        <v>7000</v>
      </c>
      <c r="F11" s="253">
        <v>5605</v>
      </c>
    </row>
    <row r="12" spans="1:6" ht="15.75" customHeight="1">
      <c r="A12" s="21"/>
      <c r="B12" s="16">
        <v>633</v>
      </c>
      <c r="C12" s="22" t="s">
        <v>397</v>
      </c>
      <c r="D12" s="208">
        <f>SUM(D13:D24)</f>
        <v>5815</v>
      </c>
      <c r="E12" s="18">
        <f>SUM(E13:E24)</f>
        <v>5383</v>
      </c>
      <c r="F12" s="253">
        <f>SUM(F13:F24)</f>
        <v>4368</v>
      </c>
    </row>
    <row r="13" spans="1:6" ht="15.75" customHeight="1">
      <c r="A13" s="19"/>
      <c r="B13" s="23">
        <v>633001</v>
      </c>
      <c r="C13" s="24" t="s">
        <v>398</v>
      </c>
      <c r="D13" s="209">
        <v>400</v>
      </c>
      <c r="E13" s="25">
        <v>400</v>
      </c>
      <c r="F13" s="316">
        <v>230</v>
      </c>
    </row>
    <row r="14" spans="1:6" ht="15.75" customHeight="1">
      <c r="A14" s="19"/>
      <c r="B14" s="26" t="s">
        <v>399</v>
      </c>
      <c r="C14" s="24" t="s">
        <v>400</v>
      </c>
      <c r="D14" s="209">
        <v>900</v>
      </c>
      <c r="E14" s="25">
        <f>900-500</f>
        <v>400</v>
      </c>
      <c r="F14" s="316">
        <v>471</v>
      </c>
    </row>
    <row r="15" spans="1:6" ht="15.75" customHeight="1">
      <c r="A15" s="19"/>
      <c r="B15" s="23">
        <v>633003</v>
      </c>
      <c r="C15" s="24" t="s">
        <v>401</v>
      </c>
      <c r="D15" s="209">
        <v>80</v>
      </c>
      <c r="E15" s="25">
        <v>80</v>
      </c>
      <c r="F15" s="316">
        <v>58</v>
      </c>
    </row>
    <row r="16" spans="1:6" ht="15.75" customHeight="1">
      <c r="A16" s="19"/>
      <c r="B16" s="23">
        <v>633004</v>
      </c>
      <c r="C16" s="24" t="s">
        <v>402</v>
      </c>
      <c r="D16" s="209">
        <f>200+10</f>
        <v>210</v>
      </c>
      <c r="E16" s="25">
        <f>200+10</f>
        <v>210</v>
      </c>
      <c r="F16" s="316">
        <v>286</v>
      </c>
    </row>
    <row r="17" spans="1:6" ht="15.75" customHeight="1">
      <c r="A17" s="19"/>
      <c r="B17" s="23">
        <v>633005</v>
      </c>
      <c r="C17" s="24" t="s">
        <v>403</v>
      </c>
      <c r="D17" s="209">
        <v>40</v>
      </c>
      <c r="E17" s="25">
        <v>40</v>
      </c>
      <c r="F17" s="316">
        <v>0</v>
      </c>
    </row>
    <row r="18" spans="1:6" ht="15.75" customHeight="1">
      <c r="A18" s="19"/>
      <c r="B18" s="23">
        <v>633006</v>
      </c>
      <c r="C18" s="24" t="s">
        <v>404</v>
      </c>
      <c r="D18" s="209">
        <f>3200+5-800</f>
        <v>2405</v>
      </c>
      <c r="E18" s="25">
        <f>3200+5-800-48+59+9</f>
        <v>2425</v>
      </c>
      <c r="F18" s="316">
        <v>1599</v>
      </c>
    </row>
    <row r="19" spans="1:6" ht="15.75" customHeight="1">
      <c r="A19" s="19"/>
      <c r="B19" s="23">
        <v>633009</v>
      </c>
      <c r="C19" s="24" t="s">
        <v>405</v>
      </c>
      <c r="D19" s="209">
        <v>240</v>
      </c>
      <c r="E19" s="25">
        <v>240</v>
      </c>
      <c r="F19" s="316">
        <v>300</v>
      </c>
    </row>
    <row r="20" spans="1:6" ht="15.75" customHeight="1">
      <c r="A20" s="19"/>
      <c r="B20" s="23">
        <v>633010</v>
      </c>
      <c r="C20" s="24" t="s">
        <v>406</v>
      </c>
      <c r="D20" s="209">
        <v>30</v>
      </c>
      <c r="E20" s="25">
        <v>30</v>
      </c>
      <c r="F20" s="316">
        <v>26</v>
      </c>
    </row>
    <row r="21" spans="1:6" ht="15.75" customHeight="1">
      <c r="A21" s="19"/>
      <c r="B21" s="23">
        <v>633011</v>
      </c>
      <c r="C21" s="24" t="s">
        <v>462</v>
      </c>
      <c r="D21" s="209">
        <v>0</v>
      </c>
      <c r="E21" s="25">
        <v>0</v>
      </c>
      <c r="F21" s="316">
        <v>20</v>
      </c>
    </row>
    <row r="22" spans="1:6" ht="15.75" customHeight="1">
      <c r="A22" s="19"/>
      <c r="B22" s="23">
        <v>633013</v>
      </c>
      <c r="C22" s="24" t="s">
        <v>407</v>
      </c>
      <c r="D22" s="209">
        <v>0</v>
      </c>
      <c r="E22" s="25">
        <v>48</v>
      </c>
      <c r="F22" s="316">
        <v>118</v>
      </c>
    </row>
    <row r="23" spans="1:6" ht="15.75" customHeight="1">
      <c r="A23" s="19"/>
      <c r="B23" s="23">
        <v>633015</v>
      </c>
      <c r="C23" s="24" t="s">
        <v>408</v>
      </c>
      <c r="D23" s="209">
        <v>10</v>
      </c>
      <c r="E23" s="25">
        <v>10</v>
      </c>
      <c r="F23" s="316">
        <v>3</v>
      </c>
    </row>
    <row r="24" spans="1:6" ht="15.75" customHeight="1">
      <c r="A24" s="19"/>
      <c r="B24" s="23">
        <v>633016</v>
      </c>
      <c r="C24" s="24" t="s">
        <v>409</v>
      </c>
      <c r="D24" s="209">
        <v>1500</v>
      </c>
      <c r="E24" s="25">
        <v>1500</v>
      </c>
      <c r="F24" s="316">
        <v>1257</v>
      </c>
    </row>
    <row r="25" spans="1:6" ht="15.75" customHeight="1">
      <c r="A25" s="21"/>
      <c r="B25" s="16">
        <v>634</v>
      </c>
      <c r="C25" s="22" t="s">
        <v>410</v>
      </c>
      <c r="D25" s="210">
        <v>2900</v>
      </c>
      <c r="E25" s="184">
        <v>2900</v>
      </c>
      <c r="F25" s="253">
        <v>1772</v>
      </c>
    </row>
    <row r="26" spans="1:6" ht="17.25" customHeight="1">
      <c r="A26" s="19" t="s">
        <v>394</v>
      </c>
      <c r="B26" s="23">
        <v>634003</v>
      </c>
      <c r="C26" s="24" t="s">
        <v>411</v>
      </c>
      <c r="D26" s="209">
        <f>600+800</f>
        <v>1400</v>
      </c>
      <c r="E26" s="25">
        <f>600+800</f>
        <v>1400</v>
      </c>
      <c r="F26" s="316">
        <v>507</v>
      </c>
    </row>
    <row r="27" spans="1:6" ht="15.75" customHeight="1">
      <c r="A27" s="21"/>
      <c r="B27" s="16">
        <v>635</v>
      </c>
      <c r="C27" s="22" t="s">
        <v>670</v>
      </c>
      <c r="D27" s="208">
        <f>1600+680</f>
        <v>2280</v>
      </c>
      <c r="E27" s="18">
        <f>1600+680-90</f>
        <v>2190</v>
      </c>
      <c r="F27" s="253">
        <v>648</v>
      </c>
    </row>
    <row r="28" spans="1:6" ht="15.75" customHeight="1">
      <c r="A28" s="21"/>
      <c r="B28" s="20">
        <v>636</v>
      </c>
      <c r="C28" s="17" t="s">
        <v>413</v>
      </c>
      <c r="D28" s="208">
        <f>100+15</f>
        <v>115</v>
      </c>
      <c r="E28" s="18">
        <f>100+15+25</f>
        <v>140</v>
      </c>
      <c r="F28" s="253">
        <v>30</v>
      </c>
    </row>
    <row r="29" spans="1:7" ht="15.75" customHeight="1">
      <c r="A29" s="21"/>
      <c r="B29" s="16">
        <v>637</v>
      </c>
      <c r="C29" s="22" t="s">
        <v>414</v>
      </c>
      <c r="D29" s="208">
        <f>SUM(D30:D49)</f>
        <v>20190</v>
      </c>
      <c r="E29" s="18">
        <f>SUM(E30:E49)</f>
        <v>54843</v>
      </c>
      <c r="F29" s="253">
        <f>SUM(F30:F49)</f>
        <v>112056</v>
      </c>
      <c r="G29" s="51"/>
    </row>
    <row r="30" spans="1:6" ht="15.75" customHeight="1">
      <c r="A30" s="19"/>
      <c r="B30" s="26" t="s">
        <v>415</v>
      </c>
      <c r="C30" s="24" t="s">
        <v>416</v>
      </c>
      <c r="D30" s="209">
        <v>450</v>
      </c>
      <c r="E30" s="25">
        <v>450</v>
      </c>
      <c r="F30" s="316">
        <v>352</v>
      </c>
    </row>
    <row r="31" spans="1:6" ht="15.75" customHeight="1">
      <c r="A31" s="19"/>
      <c r="B31" s="23">
        <v>637002</v>
      </c>
      <c r="C31" s="24" t="s">
        <v>417</v>
      </c>
      <c r="D31" s="209">
        <v>950</v>
      </c>
      <c r="E31" s="25">
        <v>950</v>
      </c>
      <c r="F31" s="316">
        <v>460</v>
      </c>
    </row>
    <row r="32" spans="1:6" ht="15.75" customHeight="1">
      <c r="A32" s="19"/>
      <c r="B32" s="23">
        <v>637003</v>
      </c>
      <c r="C32" s="24" t="s">
        <v>418</v>
      </c>
      <c r="D32" s="209">
        <v>1700</v>
      </c>
      <c r="E32" s="25">
        <f>1700+14+2400</f>
        <v>4114</v>
      </c>
      <c r="F32" s="316">
        <v>4959</v>
      </c>
    </row>
    <row r="33" spans="1:6" ht="15.75" customHeight="1">
      <c r="A33" s="19"/>
      <c r="B33" s="23">
        <v>637004</v>
      </c>
      <c r="C33" s="24" t="s">
        <v>419</v>
      </c>
      <c r="D33" s="209">
        <f>2000+50-100</f>
        <v>1950</v>
      </c>
      <c r="E33" s="25">
        <f>2000+50-100-220+125+1240+569+150</f>
        <v>3814</v>
      </c>
      <c r="F33" s="316">
        <v>3908</v>
      </c>
    </row>
    <row r="34" spans="1:6" ht="15.75" customHeight="1">
      <c r="A34" s="19"/>
      <c r="B34" s="23">
        <v>637005</v>
      </c>
      <c r="C34" s="24" t="s">
        <v>420</v>
      </c>
      <c r="D34" s="209">
        <f>600+800+3600</f>
        <v>5000</v>
      </c>
      <c r="E34" s="25">
        <f>600+800+3600+3400+100</f>
        <v>8500</v>
      </c>
      <c r="F34" s="316">
        <v>9305</v>
      </c>
    </row>
    <row r="35" spans="1:6" ht="15.75" customHeight="1">
      <c r="A35" s="19"/>
      <c r="B35" s="23">
        <v>637006</v>
      </c>
      <c r="C35" s="24" t="s">
        <v>421</v>
      </c>
      <c r="D35" s="209">
        <v>20</v>
      </c>
      <c r="E35" s="25">
        <v>20</v>
      </c>
      <c r="F35" s="316">
        <v>2</v>
      </c>
    </row>
    <row r="36" spans="1:6" ht="15.75" customHeight="1">
      <c r="A36" s="19"/>
      <c r="B36" s="23">
        <v>637007</v>
      </c>
      <c r="C36" s="24" t="s">
        <v>395</v>
      </c>
      <c r="D36" s="209">
        <v>0</v>
      </c>
      <c r="E36" s="25">
        <f>50+75</f>
        <v>125</v>
      </c>
      <c r="F36" s="316">
        <v>35</v>
      </c>
    </row>
    <row r="37" spans="1:6" ht="15.75" customHeight="1">
      <c r="A37" s="19"/>
      <c r="B37" s="23">
        <v>637009</v>
      </c>
      <c r="C37" s="24" t="s">
        <v>422</v>
      </c>
      <c r="D37" s="209">
        <v>20</v>
      </c>
      <c r="E37" s="25">
        <v>20</v>
      </c>
      <c r="F37" s="316">
        <v>4</v>
      </c>
    </row>
    <row r="38" spans="1:6" ht="15.75" customHeight="1">
      <c r="A38" s="19"/>
      <c r="B38" s="23">
        <v>637011</v>
      </c>
      <c r="C38" s="24" t="s">
        <v>423</v>
      </c>
      <c r="D38" s="209">
        <f>50+200</f>
        <v>250</v>
      </c>
      <c r="E38" s="25">
        <f>50+200+1450</f>
        <v>1700</v>
      </c>
      <c r="F38" s="316">
        <v>2072</v>
      </c>
    </row>
    <row r="39" spans="1:6" ht="15.75" customHeight="1">
      <c r="A39" s="19"/>
      <c r="B39" s="23">
        <v>637012</v>
      </c>
      <c r="C39" s="24" t="s">
        <v>424</v>
      </c>
      <c r="D39" s="209">
        <f>400+700+1000</f>
        <v>2100</v>
      </c>
      <c r="E39" s="25">
        <f>400+700+1000+1400</f>
        <v>3500</v>
      </c>
      <c r="F39" s="316">
        <v>4078</v>
      </c>
    </row>
    <row r="40" spans="1:6" ht="15.75" customHeight="1">
      <c r="A40" s="19"/>
      <c r="B40" s="23">
        <v>637014</v>
      </c>
      <c r="C40" s="24" t="s">
        <v>425</v>
      </c>
      <c r="D40" s="209">
        <v>1800</v>
      </c>
      <c r="E40" s="25">
        <v>1800</v>
      </c>
      <c r="F40" s="316">
        <v>1659</v>
      </c>
    </row>
    <row r="41" spans="1:6" ht="15.75" customHeight="1">
      <c r="A41" s="19"/>
      <c r="B41" s="23">
        <v>637015</v>
      </c>
      <c r="C41" s="24" t="s">
        <v>426</v>
      </c>
      <c r="D41" s="209">
        <v>1900</v>
      </c>
      <c r="E41" s="25">
        <v>1900</v>
      </c>
      <c r="F41" s="316">
        <v>519</v>
      </c>
    </row>
    <row r="42" spans="1:6" ht="15.75" customHeight="1">
      <c r="A42" s="19"/>
      <c r="B42" s="23">
        <v>637016</v>
      </c>
      <c r="C42" s="24" t="s">
        <v>427</v>
      </c>
      <c r="D42" s="209">
        <v>580</v>
      </c>
      <c r="E42" s="25">
        <v>580</v>
      </c>
      <c r="F42" s="316">
        <v>587</v>
      </c>
    </row>
    <row r="43" spans="1:6" ht="15.75" customHeight="1">
      <c r="A43" s="19"/>
      <c r="B43" s="23">
        <v>637018</v>
      </c>
      <c r="C43" s="27" t="s">
        <v>759</v>
      </c>
      <c r="D43" s="209">
        <v>0</v>
      </c>
      <c r="E43" s="25">
        <f>80620-56835</f>
        <v>23785</v>
      </c>
      <c r="F43" s="316">
        <v>80600</v>
      </c>
    </row>
    <row r="44" spans="1:6" ht="15.75" customHeight="1">
      <c r="A44" s="19"/>
      <c r="B44" s="23">
        <v>637021</v>
      </c>
      <c r="C44" s="24" t="s">
        <v>428</v>
      </c>
      <c r="D44" s="209">
        <v>0</v>
      </c>
      <c r="E44" s="25">
        <v>0</v>
      </c>
      <c r="F44" s="316">
        <v>273</v>
      </c>
    </row>
    <row r="45" spans="1:6" ht="15.75" customHeight="1">
      <c r="A45" s="19"/>
      <c r="B45" s="23">
        <v>637023</v>
      </c>
      <c r="C45" s="24" t="s">
        <v>429</v>
      </c>
      <c r="D45" s="209">
        <f>30+40</f>
        <v>70</v>
      </c>
      <c r="E45" s="25">
        <f>30+40+55</f>
        <v>125</v>
      </c>
      <c r="F45" s="316">
        <v>89</v>
      </c>
    </row>
    <row r="46" spans="1:6" ht="15.75" customHeight="1">
      <c r="A46" s="19"/>
      <c r="B46" s="23">
        <v>637024</v>
      </c>
      <c r="C46" s="24" t="s">
        <v>430</v>
      </c>
      <c r="D46" s="209">
        <v>0</v>
      </c>
      <c r="E46" s="25">
        <v>60</v>
      </c>
      <c r="F46" s="316">
        <v>85</v>
      </c>
    </row>
    <row r="47" spans="1:6" ht="15.75" customHeight="1">
      <c r="A47" s="19"/>
      <c r="B47" s="23">
        <v>637026</v>
      </c>
      <c r="C47" s="24" t="s">
        <v>431</v>
      </c>
      <c r="D47" s="209">
        <v>2600</v>
      </c>
      <c r="E47" s="25">
        <v>2600</v>
      </c>
      <c r="F47" s="316">
        <v>1830</v>
      </c>
    </row>
    <row r="48" spans="1:6" ht="15.75" customHeight="1">
      <c r="A48" s="19"/>
      <c r="B48" s="23">
        <v>637027</v>
      </c>
      <c r="C48" s="24" t="s">
        <v>432</v>
      </c>
      <c r="D48" s="209">
        <v>800</v>
      </c>
      <c r="E48" s="25">
        <v>800</v>
      </c>
      <c r="F48" s="316">
        <v>1212</v>
      </c>
    </row>
    <row r="49" spans="1:6" ht="15.75" customHeight="1">
      <c r="A49" s="19"/>
      <c r="B49" s="23">
        <v>637030</v>
      </c>
      <c r="C49" s="24" t="s">
        <v>433</v>
      </c>
      <c r="D49" s="209">
        <v>0</v>
      </c>
      <c r="E49" s="25">
        <v>0</v>
      </c>
      <c r="F49" s="316">
        <v>27</v>
      </c>
    </row>
    <row r="50" spans="1:6" ht="15.75" customHeight="1">
      <c r="A50" s="21"/>
      <c r="B50" s="20">
        <v>640</v>
      </c>
      <c r="C50" s="22" t="s">
        <v>435</v>
      </c>
      <c r="D50" s="208">
        <f>SUM(D51:D56)</f>
        <v>1100</v>
      </c>
      <c r="E50" s="18">
        <f>SUM(E51:E56)</f>
        <v>1320</v>
      </c>
      <c r="F50" s="253">
        <f>SUM(F51:F56)</f>
        <v>1254</v>
      </c>
    </row>
    <row r="51" spans="1:6" ht="15.75" customHeight="1">
      <c r="A51" s="19"/>
      <c r="B51" s="23">
        <v>642001</v>
      </c>
      <c r="C51" s="27" t="s">
        <v>757</v>
      </c>
      <c r="D51" s="209">
        <v>10</v>
      </c>
      <c r="E51" s="25">
        <v>10</v>
      </c>
      <c r="F51" s="316">
        <v>0</v>
      </c>
    </row>
    <row r="52" spans="1:6" ht="15.75" customHeight="1">
      <c r="A52" s="19"/>
      <c r="B52" s="23">
        <v>642006</v>
      </c>
      <c r="C52" s="27" t="s">
        <v>437</v>
      </c>
      <c r="D52" s="209">
        <v>360</v>
      </c>
      <c r="E52" s="25">
        <f>360+220</f>
        <v>580</v>
      </c>
      <c r="F52" s="316">
        <v>583</v>
      </c>
    </row>
    <row r="53" spans="1:6" ht="15.75" customHeight="1">
      <c r="A53" s="19"/>
      <c r="B53" s="23">
        <v>642012</v>
      </c>
      <c r="C53" s="27" t="s">
        <v>438</v>
      </c>
      <c r="D53" s="209">
        <v>250</v>
      </c>
      <c r="E53" s="25">
        <v>250</v>
      </c>
      <c r="F53" s="316">
        <v>267</v>
      </c>
    </row>
    <row r="54" spans="1:6" ht="15.75" customHeight="1">
      <c r="A54" s="19"/>
      <c r="B54" s="23">
        <v>642013</v>
      </c>
      <c r="C54" s="27" t="s">
        <v>439</v>
      </c>
      <c r="D54" s="209">
        <v>280</v>
      </c>
      <c r="E54" s="25">
        <v>280</v>
      </c>
      <c r="F54" s="316">
        <v>277</v>
      </c>
    </row>
    <row r="55" spans="1:6" ht="15.75" customHeight="1">
      <c r="A55" s="19"/>
      <c r="B55" s="23">
        <v>642014</v>
      </c>
      <c r="C55" s="27" t="s">
        <v>669</v>
      </c>
      <c r="D55" s="209">
        <v>0</v>
      </c>
      <c r="E55" s="25">
        <v>0</v>
      </c>
      <c r="F55" s="316">
        <v>11</v>
      </c>
    </row>
    <row r="56" spans="1:6" ht="15.75" customHeight="1">
      <c r="A56" s="19"/>
      <c r="B56" s="23">
        <v>642015</v>
      </c>
      <c r="C56" s="27" t="s">
        <v>440</v>
      </c>
      <c r="D56" s="209">
        <v>200</v>
      </c>
      <c r="E56" s="25">
        <v>200</v>
      </c>
      <c r="F56" s="316">
        <v>116</v>
      </c>
    </row>
    <row r="57" spans="1:6" ht="15.75" customHeight="1">
      <c r="A57" s="10" t="s">
        <v>743</v>
      </c>
      <c r="B57" s="11" t="s">
        <v>747</v>
      </c>
      <c r="C57" s="12"/>
      <c r="D57" s="211">
        <f>D58+D59+D60</f>
        <v>906</v>
      </c>
      <c r="E57" s="14">
        <f>E58+E59+E60</f>
        <v>906</v>
      </c>
      <c r="F57" s="312">
        <f>F58+F59+F60</f>
        <v>799</v>
      </c>
    </row>
    <row r="58" spans="1:6" ht="15.75" customHeight="1">
      <c r="A58" s="15"/>
      <c r="B58" s="16">
        <v>610</v>
      </c>
      <c r="C58" s="17" t="s">
        <v>391</v>
      </c>
      <c r="D58" s="208">
        <v>432</v>
      </c>
      <c r="E58" s="18">
        <v>432</v>
      </c>
      <c r="F58" s="253">
        <v>405</v>
      </c>
    </row>
    <row r="59" spans="1:6" ht="15.75" customHeight="1">
      <c r="A59" s="19"/>
      <c r="B59" s="20">
        <v>620</v>
      </c>
      <c r="C59" s="17" t="s">
        <v>392</v>
      </c>
      <c r="D59" s="208">
        <v>151</v>
      </c>
      <c r="E59" s="18">
        <v>151</v>
      </c>
      <c r="F59" s="253">
        <v>133</v>
      </c>
    </row>
    <row r="60" spans="1:6" ht="15.75" customHeight="1">
      <c r="A60" s="21"/>
      <c r="B60" s="16">
        <v>630</v>
      </c>
      <c r="C60" s="22" t="s">
        <v>393</v>
      </c>
      <c r="D60" s="208">
        <f>D61+D62+D64+D71+D72+D73</f>
        <v>323</v>
      </c>
      <c r="E60" s="18">
        <f>E61+E62+E64+E71+E72+E73</f>
        <v>323</v>
      </c>
      <c r="F60" s="253">
        <f>F61+F62+F64+F71+F72+F73</f>
        <v>261</v>
      </c>
    </row>
    <row r="61" spans="1:6" ht="15.75" customHeight="1">
      <c r="A61" s="21" t="s">
        <v>394</v>
      </c>
      <c r="B61" s="16">
        <v>631</v>
      </c>
      <c r="C61" s="22" t="s">
        <v>395</v>
      </c>
      <c r="D61" s="208">
        <v>10</v>
      </c>
      <c r="E61" s="18">
        <v>10</v>
      </c>
      <c r="F61" s="253">
        <v>2</v>
      </c>
    </row>
    <row r="62" spans="1:6" s="29" customFormat="1" ht="15.75" customHeight="1" thickBot="1">
      <c r="A62" s="250"/>
      <c r="B62" s="270">
        <v>632</v>
      </c>
      <c r="C62" s="41" t="s">
        <v>396</v>
      </c>
      <c r="D62" s="215">
        <v>60</v>
      </c>
      <c r="E62" s="252">
        <v>60</v>
      </c>
      <c r="F62" s="272">
        <v>19</v>
      </c>
    </row>
    <row r="63" spans="1:6" s="29" customFormat="1" ht="16.5" thickBot="1">
      <c r="A63" s="30"/>
      <c r="B63" s="31"/>
      <c r="C63" s="32"/>
      <c r="D63" s="212"/>
      <c r="E63" s="9"/>
      <c r="F63" s="8" t="s">
        <v>749</v>
      </c>
    </row>
    <row r="64" spans="1:6" s="29" customFormat="1" ht="15.75" customHeight="1">
      <c r="A64" s="247"/>
      <c r="B64" s="248">
        <v>633</v>
      </c>
      <c r="C64" s="249" t="s">
        <v>397</v>
      </c>
      <c r="D64" s="267">
        <f>SUM(D65:D70)</f>
        <v>150</v>
      </c>
      <c r="E64" s="268">
        <f>SUM(E65:E70)</f>
        <v>150</v>
      </c>
      <c r="F64" s="320">
        <f>SUM(F65:F70)</f>
        <v>141</v>
      </c>
    </row>
    <row r="65" spans="1:6" ht="15.75" customHeight="1">
      <c r="A65" s="34"/>
      <c r="B65" s="35">
        <v>633001</v>
      </c>
      <c r="C65" s="36" t="s">
        <v>398</v>
      </c>
      <c r="D65" s="213">
        <v>65</v>
      </c>
      <c r="E65" s="37">
        <v>65</v>
      </c>
      <c r="F65" s="317">
        <v>47</v>
      </c>
    </row>
    <row r="66" spans="1:6" ht="15.75" customHeight="1">
      <c r="A66" s="21"/>
      <c r="B66" s="26" t="s">
        <v>399</v>
      </c>
      <c r="C66" s="24" t="s">
        <v>400</v>
      </c>
      <c r="D66" s="209">
        <v>30</v>
      </c>
      <c r="E66" s="25">
        <v>30</v>
      </c>
      <c r="F66" s="316">
        <v>0</v>
      </c>
    </row>
    <row r="67" spans="1:6" ht="15.75" customHeight="1">
      <c r="A67" s="21"/>
      <c r="B67" s="23">
        <v>633003</v>
      </c>
      <c r="C67" s="24" t="s">
        <v>401</v>
      </c>
      <c r="D67" s="209">
        <v>0</v>
      </c>
      <c r="E67" s="25">
        <v>0</v>
      </c>
      <c r="F67" s="316">
        <v>5</v>
      </c>
    </row>
    <row r="68" spans="1:6" ht="15.75" customHeight="1">
      <c r="A68" s="21"/>
      <c r="B68" s="23">
        <v>633004</v>
      </c>
      <c r="C68" s="24" t="s">
        <v>402</v>
      </c>
      <c r="D68" s="209">
        <v>20</v>
      </c>
      <c r="E68" s="25">
        <v>20</v>
      </c>
      <c r="F68" s="316">
        <v>48</v>
      </c>
    </row>
    <row r="69" spans="1:6" ht="15.75" customHeight="1">
      <c r="A69" s="19"/>
      <c r="B69" s="23">
        <v>633006</v>
      </c>
      <c r="C69" s="24" t="s">
        <v>404</v>
      </c>
      <c r="D69" s="209">
        <v>30</v>
      </c>
      <c r="E69" s="25">
        <v>30</v>
      </c>
      <c r="F69" s="316">
        <v>41</v>
      </c>
    </row>
    <row r="70" spans="1:6" ht="15.75" customHeight="1">
      <c r="A70" s="19"/>
      <c r="B70" s="23">
        <v>633009</v>
      </c>
      <c r="C70" s="24" t="s">
        <v>405</v>
      </c>
      <c r="D70" s="209">
        <v>5</v>
      </c>
      <c r="E70" s="25">
        <v>5</v>
      </c>
      <c r="F70" s="316">
        <v>0</v>
      </c>
    </row>
    <row r="71" spans="1:6" ht="15.75" customHeight="1">
      <c r="A71" s="21"/>
      <c r="B71" s="16">
        <v>634</v>
      </c>
      <c r="C71" s="22" t="s">
        <v>410</v>
      </c>
      <c r="D71" s="208">
        <v>0</v>
      </c>
      <c r="E71" s="18">
        <v>0</v>
      </c>
      <c r="F71" s="253">
        <v>0</v>
      </c>
    </row>
    <row r="72" spans="1:6" ht="15.75" customHeight="1">
      <c r="A72" s="21"/>
      <c r="B72" s="16">
        <v>635</v>
      </c>
      <c r="C72" s="22" t="s">
        <v>670</v>
      </c>
      <c r="D72" s="208">
        <v>40</v>
      </c>
      <c r="E72" s="18">
        <v>40</v>
      </c>
      <c r="F72" s="253">
        <v>50</v>
      </c>
    </row>
    <row r="73" spans="1:6" ht="15.75" customHeight="1">
      <c r="A73" s="21"/>
      <c r="B73" s="16">
        <v>637</v>
      </c>
      <c r="C73" s="22" t="s">
        <v>414</v>
      </c>
      <c r="D73" s="208">
        <f>SUM(D74:D79)</f>
        <v>63</v>
      </c>
      <c r="E73" s="18">
        <f>SUM(E74:E79)</f>
        <v>63</v>
      </c>
      <c r="F73" s="253">
        <f>SUM(F74:F79)</f>
        <v>49</v>
      </c>
    </row>
    <row r="74" spans="1:6" ht="15.75" customHeight="1">
      <c r="A74" s="19"/>
      <c r="B74" s="26" t="s">
        <v>415</v>
      </c>
      <c r="C74" s="24" t="s">
        <v>441</v>
      </c>
      <c r="D74" s="209">
        <v>11</v>
      </c>
      <c r="E74" s="25">
        <v>11</v>
      </c>
      <c r="F74" s="316">
        <v>0</v>
      </c>
    </row>
    <row r="75" spans="1:6" ht="15.75" customHeight="1">
      <c r="A75" s="19"/>
      <c r="B75" s="23">
        <v>637004</v>
      </c>
      <c r="C75" s="24" t="s">
        <v>419</v>
      </c>
      <c r="D75" s="209">
        <v>20</v>
      </c>
      <c r="E75" s="25">
        <v>20</v>
      </c>
      <c r="F75" s="316">
        <v>20</v>
      </c>
    </row>
    <row r="76" spans="1:6" ht="15.75" customHeight="1">
      <c r="A76" s="19"/>
      <c r="B76" s="23">
        <v>637007</v>
      </c>
      <c r="C76" s="24" t="s">
        <v>395</v>
      </c>
      <c r="D76" s="209">
        <v>5</v>
      </c>
      <c r="E76" s="25">
        <v>5</v>
      </c>
      <c r="F76" s="316">
        <v>0</v>
      </c>
    </row>
    <row r="77" spans="1:6" ht="15.75" customHeight="1">
      <c r="A77" s="19"/>
      <c r="B77" s="23">
        <v>637014</v>
      </c>
      <c r="C77" s="24" t="s">
        <v>425</v>
      </c>
      <c r="D77" s="209">
        <v>20</v>
      </c>
      <c r="E77" s="25">
        <v>20</v>
      </c>
      <c r="F77" s="316">
        <v>17</v>
      </c>
    </row>
    <row r="78" spans="1:6" ht="15.75" customHeight="1">
      <c r="A78" s="19"/>
      <c r="B78" s="23">
        <v>637016</v>
      </c>
      <c r="C78" s="24" t="s">
        <v>427</v>
      </c>
      <c r="D78" s="209">
        <v>7</v>
      </c>
      <c r="E78" s="25">
        <v>7</v>
      </c>
      <c r="F78" s="316">
        <v>6</v>
      </c>
    </row>
    <row r="79" spans="1:6" ht="15.75" customHeight="1">
      <c r="A79" s="19"/>
      <c r="B79" s="23">
        <v>637018</v>
      </c>
      <c r="C79" s="27" t="s">
        <v>758</v>
      </c>
      <c r="D79" s="209">
        <v>0</v>
      </c>
      <c r="E79" s="25">
        <v>0</v>
      </c>
      <c r="F79" s="316">
        <v>6</v>
      </c>
    </row>
    <row r="80" spans="1:6" ht="15.75" customHeight="1">
      <c r="A80" s="10" t="s">
        <v>743</v>
      </c>
      <c r="B80" s="11" t="s">
        <v>677</v>
      </c>
      <c r="C80" s="12"/>
      <c r="D80" s="211">
        <f>SUM(D81+D82+D83+D88)</f>
        <v>117</v>
      </c>
      <c r="E80" s="14">
        <f>SUM(E81+E82+E83+E88)</f>
        <v>117</v>
      </c>
      <c r="F80" s="312">
        <f>SUM(F81+F82+F83+F88)</f>
        <v>214</v>
      </c>
    </row>
    <row r="81" spans="1:6" ht="15.75" customHeight="1">
      <c r="A81" s="185"/>
      <c r="B81" s="16">
        <v>610</v>
      </c>
      <c r="C81" s="17" t="s">
        <v>391</v>
      </c>
      <c r="D81" s="210">
        <v>0</v>
      </c>
      <c r="E81" s="184">
        <v>0</v>
      </c>
      <c r="F81" s="186">
        <v>4</v>
      </c>
    </row>
    <row r="82" spans="1:6" ht="15.75" customHeight="1">
      <c r="A82" s="185"/>
      <c r="B82" s="20">
        <v>620</v>
      </c>
      <c r="C82" s="17" t="s">
        <v>392</v>
      </c>
      <c r="D82" s="210">
        <v>0</v>
      </c>
      <c r="E82" s="184">
        <v>0</v>
      </c>
      <c r="F82" s="186">
        <v>2</v>
      </c>
    </row>
    <row r="83" spans="1:6" ht="15.75" customHeight="1">
      <c r="A83" s="21"/>
      <c r="B83" s="16">
        <v>633</v>
      </c>
      <c r="C83" s="22" t="s">
        <v>397</v>
      </c>
      <c r="D83" s="208">
        <f>SUM(D84:D87)</f>
        <v>117</v>
      </c>
      <c r="E83" s="18">
        <f>SUM(E84:E87)</f>
        <v>117</v>
      </c>
      <c r="F83" s="253">
        <f>SUM(F84:F87)</f>
        <v>155</v>
      </c>
    </row>
    <row r="84" spans="1:6" ht="15.75" customHeight="1">
      <c r="A84" s="19"/>
      <c r="B84" s="23">
        <v>633001</v>
      </c>
      <c r="C84" s="24" t="s">
        <v>398</v>
      </c>
      <c r="D84" s="209">
        <v>117</v>
      </c>
      <c r="E84" s="25">
        <v>117</v>
      </c>
      <c r="F84" s="316">
        <v>90</v>
      </c>
    </row>
    <row r="85" spans="1:6" ht="15.75" customHeight="1">
      <c r="A85" s="19"/>
      <c r="B85" s="23">
        <v>633002</v>
      </c>
      <c r="C85" s="24" t="s">
        <v>400</v>
      </c>
      <c r="D85" s="209">
        <v>0</v>
      </c>
      <c r="E85" s="25">
        <v>0</v>
      </c>
      <c r="F85" s="316">
        <v>29</v>
      </c>
    </row>
    <row r="86" spans="1:6" ht="15.75" customHeight="1">
      <c r="A86" s="19"/>
      <c r="B86" s="23">
        <v>633004</v>
      </c>
      <c r="C86" s="24" t="s">
        <v>402</v>
      </c>
      <c r="D86" s="209">
        <v>0</v>
      </c>
      <c r="E86" s="25">
        <v>0</v>
      </c>
      <c r="F86" s="316">
        <v>15</v>
      </c>
    </row>
    <row r="87" spans="1:6" ht="15.75" customHeight="1">
      <c r="A87" s="19"/>
      <c r="B87" s="23">
        <v>633006</v>
      </c>
      <c r="C87" s="24" t="s">
        <v>404</v>
      </c>
      <c r="D87" s="209">
        <v>0</v>
      </c>
      <c r="E87" s="25">
        <v>0</v>
      </c>
      <c r="F87" s="316">
        <v>21</v>
      </c>
    </row>
    <row r="88" spans="1:6" ht="15.75" customHeight="1">
      <c r="A88" s="19"/>
      <c r="B88" s="16">
        <v>637</v>
      </c>
      <c r="C88" s="22" t="s">
        <v>414</v>
      </c>
      <c r="D88" s="208">
        <f>SUM(D89:D89)</f>
        <v>0</v>
      </c>
      <c r="E88" s="18">
        <f>SUM(E89:E89)</f>
        <v>0</v>
      </c>
      <c r="F88" s="253">
        <f>SUM(F89:F89)</f>
        <v>53</v>
      </c>
    </row>
    <row r="89" spans="1:6" ht="15.75" customHeight="1">
      <c r="A89" s="19"/>
      <c r="B89" s="23">
        <v>637018</v>
      </c>
      <c r="C89" s="27" t="s">
        <v>758</v>
      </c>
      <c r="D89" s="209">
        <v>0</v>
      </c>
      <c r="E89" s="25">
        <v>0</v>
      </c>
      <c r="F89" s="316">
        <v>53</v>
      </c>
    </row>
    <row r="90" spans="1:6" ht="15.75" customHeight="1">
      <c r="A90" s="10" t="s">
        <v>743</v>
      </c>
      <c r="B90" s="11" t="s">
        <v>678</v>
      </c>
      <c r="C90" s="12"/>
      <c r="D90" s="211">
        <f>D91+D92+D93</f>
        <v>2840</v>
      </c>
      <c r="E90" s="14">
        <f>E91+E92+E93</f>
        <v>2840</v>
      </c>
      <c r="F90" s="312">
        <f>F91+F92+F93</f>
        <v>2762</v>
      </c>
    </row>
    <row r="91" spans="1:6" ht="15.75" customHeight="1">
      <c r="A91" s="15"/>
      <c r="B91" s="16">
        <v>610</v>
      </c>
      <c r="C91" s="17" t="s">
        <v>391</v>
      </c>
      <c r="D91" s="208">
        <v>1700</v>
      </c>
      <c r="E91" s="18">
        <v>1700</v>
      </c>
      <c r="F91" s="253">
        <v>1710</v>
      </c>
    </row>
    <row r="92" spans="1:6" ht="15.75" customHeight="1">
      <c r="A92" s="19"/>
      <c r="B92" s="20">
        <v>620</v>
      </c>
      <c r="C92" s="17" t="s">
        <v>392</v>
      </c>
      <c r="D92" s="208">
        <v>595</v>
      </c>
      <c r="E92" s="18">
        <v>595</v>
      </c>
      <c r="F92" s="253">
        <v>594</v>
      </c>
    </row>
    <row r="93" spans="1:6" ht="15.75" customHeight="1">
      <c r="A93" s="21"/>
      <c r="B93" s="16">
        <v>630</v>
      </c>
      <c r="C93" s="22" t="s">
        <v>393</v>
      </c>
      <c r="D93" s="208">
        <f>D94+D95+D96+D100+D101+D102</f>
        <v>545</v>
      </c>
      <c r="E93" s="18">
        <f>E94+E95+E96+E100+E101+E102</f>
        <v>545</v>
      </c>
      <c r="F93" s="253">
        <f>F94+F95+F96+F100+F101+F102</f>
        <v>458</v>
      </c>
    </row>
    <row r="94" spans="1:6" ht="15.75" customHeight="1">
      <c r="A94" s="21" t="s">
        <v>394</v>
      </c>
      <c r="B94" s="16">
        <v>631</v>
      </c>
      <c r="C94" s="22" t="s">
        <v>395</v>
      </c>
      <c r="D94" s="208">
        <v>10</v>
      </c>
      <c r="E94" s="18">
        <v>10</v>
      </c>
      <c r="F94" s="253">
        <v>0</v>
      </c>
    </row>
    <row r="95" spans="1:6" ht="15.75" customHeight="1">
      <c r="A95" s="21"/>
      <c r="B95" s="16">
        <v>632</v>
      </c>
      <c r="C95" s="17" t="s">
        <v>396</v>
      </c>
      <c r="D95" s="208">
        <v>355</v>
      </c>
      <c r="E95" s="18">
        <v>355</v>
      </c>
      <c r="F95" s="253">
        <v>160</v>
      </c>
    </row>
    <row r="96" spans="1:6" ht="15.75" customHeight="1">
      <c r="A96" s="21"/>
      <c r="B96" s="16">
        <v>633</v>
      </c>
      <c r="C96" s="22" t="s">
        <v>397</v>
      </c>
      <c r="D96" s="208">
        <f>SUM(D97:D99)</f>
        <v>65</v>
      </c>
      <c r="E96" s="18">
        <f>SUM(E97:E99)</f>
        <v>65</v>
      </c>
      <c r="F96" s="253">
        <f>SUM(F97:F99)</f>
        <v>130</v>
      </c>
    </row>
    <row r="97" spans="1:6" ht="15.75" customHeight="1">
      <c r="A97" s="19"/>
      <c r="B97" s="23">
        <v>633004</v>
      </c>
      <c r="C97" s="24" t="s">
        <v>402</v>
      </c>
      <c r="D97" s="209">
        <v>0</v>
      </c>
      <c r="E97" s="25">
        <v>0</v>
      </c>
      <c r="F97" s="316">
        <v>2</v>
      </c>
    </row>
    <row r="98" spans="1:6" ht="15.75" customHeight="1">
      <c r="A98" s="19"/>
      <c r="B98" s="23">
        <v>633006</v>
      </c>
      <c r="C98" s="24" t="s">
        <v>404</v>
      </c>
      <c r="D98" s="209">
        <v>50</v>
      </c>
      <c r="E98" s="25">
        <v>50</v>
      </c>
      <c r="F98" s="316">
        <v>104</v>
      </c>
    </row>
    <row r="99" spans="1:6" ht="15.75" customHeight="1">
      <c r="A99" s="19"/>
      <c r="B99" s="23">
        <v>633009</v>
      </c>
      <c r="C99" s="24" t="s">
        <v>405</v>
      </c>
      <c r="D99" s="209">
        <v>15</v>
      </c>
      <c r="E99" s="25">
        <v>15</v>
      </c>
      <c r="F99" s="316">
        <v>24</v>
      </c>
    </row>
    <row r="100" spans="1:6" ht="15.75" customHeight="1">
      <c r="A100" s="21"/>
      <c r="B100" s="16">
        <v>634</v>
      </c>
      <c r="C100" s="22" t="s">
        <v>410</v>
      </c>
      <c r="D100" s="208">
        <v>0</v>
      </c>
      <c r="E100" s="18">
        <v>0</v>
      </c>
      <c r="F100" s="253">
        <v>0</v>
      </c>
    </row>
    <row r="101" spans="1:6" ht="15.75" customHeight="1">
      <c r="A101" s="21"/>
      <c r="B101" s="16">
        <v>635</v>
      </c>
      <c r="C101" s="22" t="s">
        <v>670</v>
      </c>
      <c r="D101" s="208">
        <v>40</v>
      </c>
      <c r="E101" s="18">
        <v>40</v>
      </c>
      <c r="F101" s="253">
        <v>23</v>
      </c>
    </row>
    <row r="102" spans="1:6" ht="15.75" customHeight="1">
      <c r="A102" s="21"/>
      <c r="B102" s="16">
        <v>637</v>
      </c>
      <c r="C102" s="22" t="s">
        <v>414</v>
      </c>
      <c r="D102" s="208">
        <f>SUM(D103:D107)</f>
        <v>75</v>
      </c>
      <c r="E102" s="18">
        <f>SUM(E103:E107)</f>
        <v>75</v>
      </c>
      <c r="F102" s="253">
        <f>SUM(F103:F107)</f>
        <v>145</v>
      </c>
    </row>
    <row r="103" spans="1:6" ht="15.75" customHeight="1">
      <c r="A103" s="19"/>
      <c r="B103" s="26" t="s">
        <v>415</v>
      </c>
      <c r="C103" s="24" t="s">
        <v>442</v>
      </c>
      <c r="D103" s="209">
        <v>6</v>
      </c>
      <c r="E103" s="25">
        <v>6</v>
      </c>
      <c r="F103" s="316">
        <v>0</v>
      </c>
    </row>
    <row r="104" spans="1:6" ht="15.75" customHeight="1">
      <c r="A104" s="19"/>
      <c r="B104" s="23">
        <v>637004</v>
      </c>
      <c r="C104" s="24" t="s">
        <v>419</v>
      </c>
      <c r="D104" s="209">
        <v>10</v>
      </c>
      <c r="E104" s="25">
        <v>10</v>
      </c>
      <c r="F104" s="316">
        <v>33</v>
      </c>
    </row>
    <row r="105" spans="1:6" ht="15.75" customHeight="1">
      <c r="A105" s="19"/>
      <c r="B105" s="23">
        <v>637007</v>
      </c>
      <c r="C105" s="24" t="s">
        <v>395</v>
      </c>
      <c r="D105" s="209">
        <v>3</v>
      </c>
      <c r="E105" s="25">
        <v>3</v>
      </c>
      <c r="F105" s="316">
        <v>0</v>
      </c>
    </row>
    <row r="106" spans="1:6" ht="15.75" customHeight="1">
      <c r="A106" s="19"/>
      <c r="B106" s="23">
        <v>637014</v>
      </c>
      <c r="C106" s="24" t="s">
        <v>425</v>
      </c>
      <c r="D106" s="209">
        <v>30</v>
      </c>
      <c r="E106" s="25">
        <v>30</v>
      </c>
      <c r="F106" s="316">
        <v>83</v>
      </c>
    </row>
    <row r="107" spans="1:6" ht="15.75" customHeight="1">
      <c r="A107" s="19"/>
      <c r="B107" s="23">
        <v>637016</v>
      </c>
      <c r="C107" s="24" t="s">
        <v>427</v>
      </c>
      <c r="D107" s="209">
        <v>26</v>
      </c>
      <c r="E107" s="25">
        <v>26</v>
      </c>
      <c r="F107" s="316">
        <v>29</v>
      </c>
    </row>
    <row r="108" spans="1:6" ht="15.75" customHeight="1">
      <c r="A108" s="72" t="s">
        <v>681</v>
      </c>
      <c r="B108" s="11" t="s">
        <v>679</v>
      </c>
      <c r="C108" s="12"/>
      <c r="D108" s="211">
        <f>SUM(D109)</f>
        <v>8000</v>
      </c>
      <c r="E108" s="14">
        <f>SUM(E109)</f>
        <v>1700</v>
      </c>
      <c r="F108" s="312">
        <f>SUM(F109)</f>
        <v>1669</v>
      </c>
    </row>
    <row r="109" spans="1:6" ht="15.75" customHeight="1">
      <c r="A109" s="21"/>
      <c r="B109" s="20">
        <v>640</v>
      </c>
      <c r="C109" s="22" t="s">
        <v>435</v>
      </c>
      <c r="D109" s="208">
        <f>SUM(D110:D111)</f>
        <v>8000</v>
      </c>
      <c r="E109" s="18">
        <f>SUM(E110:E111)</f>
        <v>1700</v>
      </c>
      <c r="F109" s="253">
        <f>SUM(F110:F111)</f>
        <v>1669</v>
      </c>
    </row>
    <row r="110" spans="1:6" ht="15.75" customHeight="1">
      <c r="A110" s="19"/>
      <c r="B110" s="23">
        <v>641001</v>
      </c>
      <c r="C110" s="24" t="s">
        <v>443</v>
      </c>
      <c r="D110" s="209">
        <v>3000</v>
      </c>
      <c r="E110" s="25">
        <v>1700</v>
      </c>
      <c r="F110" s="316">
        <v>1669</v>
      </c>
    </row>
    <row r="111" spans="1:6" ht="15.75" customHeight="1">
      <c r="A111" s="19"/>
      <c r="B111" s="23">
        <v>644002</v>
      </c>
      <c r="C111" s="24" t="s">
        <v>444</v>
      </c>
      <c r="D111" s="209">
        <v>5000</v>
      </c>
      <c r="E111" s="25">
        <v>0</v>
      </c>
      <c r="F111" s="316">
        <v>0</v>
      </c>
    </row>
    <row r="112" spans="1:6" ht="15.75" customHeight="1">
      <c r="A112" s="72" t="s">
        <v>253</v>
      </c>
      <c r="B112" s="11" t="s">
        <v>680</v>
      </c>
      <c r="C112" s="12"/>
      <c r="D112" s="214">
        <f>D113+D114+D115+D127</f>
        <v>1853</v>
      </c>
      <c r="E112" s="39">
        <f>E113+E114+E115+E127</f>
        <v>1980</v>
      </c>
      <c r="F112" s="313">
        <f>F113+F114+F115+F127</f>
        <v>1885</v>
      </c>
    </row>
    <row r="113" spans="1:6" ht="15.75" customHeight="1">
      <c r="A113" s="15"/>
      <c r="B113" s="16">
        <v>610</v>
      </c>
      <c r="C113" s="17" t="s">
        <v>391</v>
      </c>
      <c r="D113" s="208">
        <v>1235</v>
      </c>
      <c r="E113" s="18">
        <v>1292</v>
      </c>
      <c r="F113" s="253">
        <v>1250</v>
      </c>
    </row>
    <row r="114" spans="1:6" ht="15.75" customHeight="1">
      <c r="A114" s="19"/>
      <c r="B114" s="20">
        <v>620</v>
      </c>
      <c r="C114" s="17" t="s">
        <v>392</v>
      </c>
      <c r="D114" s="208">
        <v>435</v>
      </c>
      <c r="E114" s="18">
        <v>454</v>
      </c>
      <c r="F114" s="253">
        <v>429</v>
      </c>
    </row>
    <row r="115" spans="1:6" ht="15.75" customHeight="1">
      <c r="A115" s="21"/>
      <c r="B115" s="16">
        <v>630</v>
      </c>
      <c r="C115" s="22" t="s">
        <v>393</v>
      </c>
      <c r="D115" s="208">
        <f>D116+D117+D121</f>
        <v>178</v>
      </c>
      <c r="E115" s="18">
        <f>E116+E117+E121</f>
        <v>229</v>
      </c>
      <c r="F115" s="253">
        <f>F116+F117+F121</f>
        <v>196</v>
      </c>
    </row>
    <row r="116" spans="1:6" ht="15.75" customHeight="1">
      <c r="A116" s="21" t="s">
        <v>394</v>
      </c>
      <c r="B116" s="16">
        <v>632</v>
      </c>
      <c r="C116" s="17" t="s">
        <v>396</v>
      </c>
      <c r="D116" s="208">
        <v>27</v>
      </c>
      <c r="E116" s="18">
        <f>27+10</f>
        <v>37</v>
      </c>
      <c r="F116" s="253">
        <v>20</v>
      </c>
    </row>
    <row r="117" spans="1:6" ht="15.75" customHeight="1">
      <c r="A117" s="21"/>
      <c r="B117" s="16">
        <v>633</v>
      </c>
      <c r="C117" s="22" t="s">
        <v>397</v>
      </c>
      <c r="D117" s="208">
        <f>SUM(D118:D120)</f>
        <v>7</v>
      </c>
      <c r="E117" s="208">
        <f>SUM(E118:E120)</f>
        <v>48</v>
      </c>
      <c r="F117" s="318">
        <f>SUM(F118:F120)</f>
        <v>63</v>
      </c>
    </row>
    <row r="118" spans="1:6" ht="15.75" customHeight="1">
      <c r="A118" s="21"/>
      <c r="B118" s="26" t="s">
        <v>399</v>
      </c>
      <c r="C118" s="24" t="s">
        <v>400</v>
      </c>
      <c r="D118" s="209">
        <v>0</v>
      </c>
      <c r="E118" s="25">
        <v>30</v>
      </c>
      <c r="F118" s="316">
        <v>30</v>
      </c>
    </row>
    <row r="119" spans="1:6" ht="15.75" customHeight="1">
      <c r="A119" s="19"/>
      <c r="B119" s="23">
        <v>633006</v>
      </c>
      <c r="C119" s="24" t="s">
        <v>404</v>
      </c>
      <c r="D119" s="209">
        <v>7</v>
      </c>
      <c r="E119" s="25">
        <f>7+11</f>
        <v>18</v>
      </c>
      <c r="F119" s="316">
        <v>29</v>
      </c>
    </row>
    <row r="120" spans="1:6" ht="15.75" customHeight="1">
      <c r="A120" s="19"/>
      <c r="B120" s="23">
        <v>633009</v>
      </c>
      <c r="C120" s="24" t="s">
        <v>405</v>
      </c>
      <c r="D120" s="209">
        <v>0</v>
      </c>
      <c r="E120" s="25">
        <v>0</v>
      </c>
      <c r="F120" s="316">
        <v>4</v>
      </c>
    </row>
    <row r="121" spans="1:6" ht="15.75" customHeight="1">
      <c r="A121" s="21"/>
      <c r="B121" s="16">
        <v>637</v>
      </c>
      <c r="C121" s="22" t="s">
        <v>414</v>
      </c>
      <c r="D121" s="208">
        <v>144</v>
      </c>
      <c r="E121" s="18">
        <f>SUM(E122:E126)</f>
        <v>144</v>
      </c>
      <c r="F121" s="253">
        <f>SUM(F122:F126)</f>
        <v>113</v>
      </c>
    </row>
    <row r="122" spans="1:6" ht="15.75" customHeight="1">
      <c r="A122" s="19"/>
      <c r="B122" s="26" t="s">
        <v>415</v>
      </c>
      <c r="C122" s="24" t="s">
        <v>416</v>
      </c>
      <c r="D122" s="209">
        <v>28</v>
      </c>
      <c r="E122" s="25">
        <v>28</v>
      </c>
      <c r="F122" s="316">
        <v>12</v>
      </c>
    </row>
    <row r="123" spans="1:6" ht="15.75" customHeight="1">
      <c r="A123" s="19"/>
      <c r="B123" s="23">
        <v>637004</v>
      </c>
      <c r="C123" s="24" t="s">
        <v>419</v>
      </c>
      <c r="D123" s="209">
        <v>0</v>
      </c>
      <c r="E123" s="25">
        <v>0</v>
      </c>
      <c r="F123" s="316">
        <v>2</v>
      </c>
    </row>
    <row r="124" spans="1:6" ht="15.75" customHeight="1">
      <c r="A124" s="19"/>
      <c r="B124" s="23">
        <v>637013</v>
      </c>
      <c r="C124" s="24" t="s">
        <v>662</v>
      </c>
      <c r="D124" s="209">
        <v>24</v>
      </c>
      <c r="E124" s="25">
        <v>24</v>
      </c>
      <c r="F124" s="316">
        <v>21</v>
      </c>
    </row>
    <row r="125" spans="1:6" ht="15.75" customHeight="1">
      <c r="A125" s="19"/>
      <c r="B125" s="23">
        <v>637014</v>
      </c>
      <c r="C125" s="24" t="s">
        <v>425</v>
      </c>
      <c r="D125" s="209">
        <v>70</v>
      </c>
      <c r="E125" s="25">
        <v>70</v>
      </c>
      <c r="F125" s="316">
        <v>60</v>
      </c>
    </row>
    <row r="126" spans="1:6" ht="15.75" customHeight="1">
      <c r="A126" s="19"/>
      <c r="B126" s="23">
        <v>637016</v>
      </c>
      <c r="C126" s="24" t="s">
        <v>427</v>
      </c>
      <c r="D126" s="209">
        <v>22</v>
      </c>
      <c r="E126" s="25">
        <v>22</v>
      </c>
      <c r="F126" s="316">
        <v>18</v>
      </c>
    </row>
    <row r="127" spans="1:6" ht="15.75" customHeight="1">
      <c r="A127" s="21"/>
      <c r="B127" s="20">
        <v>640</v>
      </c>
      <c r="C127" s="22" t="s">
        <v>435</v>
      </c>
      <c r="D127" s="208">
        <v>5</v>
      </c>
      <c r="E127" s="18">
        <v>5</v>
      </c>
      <c r="F127" s="253">
        <f>SUM(F128)</f>
        <v>10</v>
      </c>
    </row>
    <row r="128" spans="1:6" ht="15.75" customHeight="1" thickBot="1">
      <c r="A128" s="250"/>
      <c r="B128" s="254">
        <v>642015</v>
      </c>
      <c r="C128" s="255" t="s">
        <v>440</v>
      </c>
      <c r="D128" s="225">
        <v>5</v>
      </c>
      <c r="E128" s="78">
        <v>5</v>
      </c>
      <c r="F128" s="319">
        <v>10</v>
      </c>
    </row>
    <row r="129" spans="1:6" ht="15.75" customHeight="1" thickBot="1">
      <c r="A129" s="30"/>
      <c r="B129" s="48"/>
      <c r="C129" s="1"/>
      <c r="D129" s="205"/>
      <c r="E129" s="4"/>
      <c r="F129" s="8" t="s">
        <v>748</v>
      </c>
    </row>
    <row r="130" spans="1:6" ht="15.75" customHeight="1">
      <c r="A130" s="199" t="s">
        <v>252</v>
      </c>
      <c r="B130" s="257" t="s">
        <v>682</v>
      </c>
      <c r="C130" s="200"/>
      <c r="D130" s="207">
        <f>D131+D132+D133</f>
        <v>855</v>
      </c>
      <c r="E130" s="13">
        <f>E131+E132+E133</f>
        <v>1280</v>
      </c>
      <c r="F130" s="13">
        <f>F131+F132+F133</f>
        <v>1254</v>
      </c>
    </row>
    <row r="131" spans="1:6" ht="15.75" customHeight="1">
      <c r="A131" s="15"/>
      <c r="B131" s="16">
        <v>610</v>
      </c>
      <c r="C131" s="17" t="s">
        <v>391</v>
      </c>
      <c r="D131" s="208">
        <v>546</v>
      </c>
      <c r="E131" s="18">
        <v>546</v>
      </c>
      <c r="F131" s="18">
        <v>531</v>
      </c>
    </row>
    <row r="132" spans="1:6" s="29" customFormat="1" ht="15.75" customHeight="1">
      <c r="A132" s="19"/>
      <c r="B132" s="20">
        <v>620</v>
      </c>
      <c r="C132" s="17" t="s">
        <v>392</v>
      </c>
      <c r="D132" s="208">
        <v>191</v>
      </c>
      <c r="E132" s="28">
        <v>191</v>
      </c>
      <c r="F132" s="253">
        <v>185</v>
      </c>
    </row>
    <row r="133" spans="1:6" ht="15.75" customHeight="1">
      <c r="A133" s="34"/>
      <c r="B133" s="43">
        <v>630</v>
      </c>
      <c r="C133" s="44" t="s">
        <v>393</v>
      </c>
      <c r="D133" s="216">
        <f>D134+D135+D141</f>
        <v>118</v>
      </c>
      <c r="E133" s="45">
        <f>E134+E135+E141</f>
        <v>543</v>
      </c>
      <c r="F133" s="45">
        <f>F134+F135+F141</f>
        <v>538</v>
      </c>
    </row>
    <row r="134" spans="1:6" ht="15.75" customHeight="1">
      <c r="A134" s="21" t="s">
        <v>394</v>
      </c>
      <c r="B134" s="16">
        <v>632</v>
      </c>
      <c r="C134" s="17" t="s">
        <v>396</v>
      </c>
      <c r="D134" s="208">
        <v>21</v>
      </c>
      <c r="E134" s="18">
        <v>21</v>
      </c>
      <c r="F134" s="18">
        <v>20</v>
      </c>
    </row>
    <row r="135" spans="1:6" ht="15.75" customHeight="1">
      <c r="A135" s="21"/>
      <c r="B135" s="16">
        <v>633</v>
      </c>
      <c r="C135" s="22" t="s">
        <v>397</v>
      </c>
      <c r="D135" s="208">
        <f>SUM(D136:D140)</f>
        <v>55</v>
      </c>
      <c r="E135" s="208">
        <f>SUM(E136:E140)</f>
        <v>480</v>
      </c>
      <c r="F135" s="208">
        <f>SUM(F136:F140)</f>
        <v>485</v>
      </c>
    </row>
    <row r="136" spans="1:6" ht="15.75" customHeight="1">
      <c r="A136" s="21"/>
      <c r="B136" s="23">
        <v>633001</v>
      </c>
      <c r="C136" s="24" t="s">
        <v>398</v>
      </c>
      <c r="D136" s="209">
        <v>47</v>
      </c>
      <c r="E136" s="25">
        <f>47+118</f>
        <v>165</v>
      </c>
      <c r="F136" s="25">
        <v>166</v>
      </c>
    </row>
    <row r="137" spans="1:6" ht="15.75" customHeight="1">
      <c r="A137" s="21"/>
      <c r="B137" s="26" t="s">
        <v>399</v>
      </c>
      <c r="C137" s="24" t="s">
        <v>400</v>
      </c>
      <c r="D137" s="209">
        <v>0</v>
      </c>
      <c r="E137" s="25">
        <v>156</v>
      </c>
      <c r="F137" s="25">
        <v>156</v>
      </c>
    </row>
    <row r="138" spans="1:6" ht="15.75" customHeight="1">
      <c r="A138" s="21"/>
      <c r="B138" s="23">
        <v>633004</v>
      </c>
      <c r="C138" s="24" t="s">
        <v>402</v>
      </c>
      <c r="D138" s="209">
        <v>0</v>
      </c>
      <c r="E138" s="25">
        <v>13</v>
      </c>
      <c r="F138" s="25">
        <v>13</v>
      </c>
    </row>
    <row r="139" spans="1:6" ht="15.75" customHeight="1">
      <c r="A139" s="19"/>
      <c r="B139" s="23">
        <v>633006</v>
      </c>
      <c r="C139" s="24" t="s">
        <v>404</v>
      </c>
      <c r="D139" s="209">
        <v>8</v>
      </c>
      <c r="E139" s="25">
        <f>8+85</f>
        <v>93</v>
      </c>
      <c r="F139" s="25">
        <v>97</v>
      </c>
    </row>
    <row r="140" spans="1:6" ht="15.75" customHeight="1">
      <c r="A140" s="19"/>
      <c r="B140" s="23">
        <v>633013</v>
      </c>
      <c r="C140" s="24" t="s">
        <v>407</v>
      </c>
      <c r="D140" s="209">
        <v>0</v>
      </c>
      <c r="E140" s="25">
        <v>53</v>
      </c>
      <c r="F140" s="25">
        <v>53</v>
      </c>
    </row>
    <row r="141" spans="1:6" ht="15.75" customHeight="1">
      <c r="A141" s="21"/>
      <c r="B141" s="16">
        <v>637</v>
      </c>
      <c r="C141" s="22" t="s">
        <v>414</v>
      </c>
      <c r="D141" s="208">
        <f>SUM(D142:D144)</f>
        <v>42</v>
      </c>
      <c r="E141" s="18">
        <f>SUM(E142:E144)</f>
        <v>42</v>
      </c>
      <c r="F141" s="18">
        <f>SUM(F142:F144)</f>
        <v>33</v>
      </c>
    </row>
    <row r="142" spans="1:6" ht="15.75" customHeight="1">
      <c r="A142" s="19"/>
      <c r="B142" s="23">
        <v>637004</v>
      </c>
      <c r="C142" s="24" t="s">
        <v>419</v>
      </c>
      <c r="D142" s="209">
        <v>11</v>
      </c>
      <c r="E142" s="25">
        <v>11</v>
      </c>
      <c r="F142" s="25">
        <v>0</v>
      </c>
    </row>
    <row r="143" spans="1:6" ht="15.75" customHeight="1">
      <c r="A143" s="69"/>
      <c r="B143" s="23">
        <v>637014</v>
      </c>
      <c r="C143" s="24" t="s">
        <v>425</v>
      </c>
      <c r="D143" s="209">
        <v>31</v>
      </c>
      <c r="E143" s="25">
        <v>31</v>
      </c>
      <c r="F143" s="25">
        <v>31</v>
      </c>
    </row>
    <row r="144" spans="1:6" ht="15.75" customHeight="1">
      <c r="A144" s="69"/>
      <c r="B144" s="23">
        <v>637016</v>
      </c>
      <c r="C144" s="24" t="s">
        <v>427</v>
      </c>
      <c r="D144" s="209">
        <v>0</v>
      </c>
      <c r="E144" s="25">
        <v>0</v>
      </c>
      <c r="F144" s="25">
        <v>2</v>
      </c>
    </row>
    <row r="145" spans="1:6" ht="15.75" customHeight="1">
      <c r="A145" s="72" t="s">
        <v>683</v>
      </c>
      <c r="B145" s="11" t="s">
        <v>684</v>
      </c>
      <c r="C145" s="46"/>
      <c r="D145" s="211">
        <f>D146</f>
        <v>52100</v>
      </c>
      <c r="E145" s="14">
        <f>E146</f>
        <v>53000</v>
      </c>
      <c r="F145" s="14">
        <f>F146</f>
        <v>56162</v>
      </c>
    </row>
    <row r="146" spans="1:6" ht="15.75" customHeight="1">
      <c r="A146" s="79"/>
      <c r="B146" s="16">
        <v>651</v>
      </c>
      <c r="C146" s="17" t="s">
        <v>446</v>
      </c>
      <c r="D146" s="208">
        <f>SUM(D147)</f>
        <v>52100</v>
      </c>
      <c r="E146" s="18">
        <f>SUM(E147)</f>
        <v>53000</v>
      </c>
      <c r="F146" s="18">
        <f>SUM(F147)</f>
        <v>56162</v>
      </c>
    </row>
    <row r="147" spans="1:6" ht="15.75" customHeight="1">
      <c r="A147" s="69"/>
      <c r="B147" s="23">
        <v>651002</v>
      </c>
      <c r="C147" s="24" t="s">
        <v>447</v>
      </c>
      <c r="D147" s="209">
        <v>52100</v>
      </c>
      <c r="E147" s="25">
        <v>53000</v>
      </c>
      <c r="F147" s="25">
        <f>55726+436</f>
        <v>56162</v>
      </c>
    </row>
    <row r="148" spans="1:6" ht="15.75" customHeight="1">
      <c r="A148" s="72" t="s">
        <v>685</v>
      </c>
      <c r="B148" s="11" t="s">
        <v>686</v>
      </c>
      <c r="C148" s="46"/>
      <c r="D148" s="211">
        <f>SUM(D149)</f>
        <v>360</v>
      </c>
      <c r="E148" s="14">
        <f>SUM(E149)</f>
        <v>360</v>
      </c>
      <c r="F148" s="14">
        <f>SUM(F149)</f>
        <v>196</v>
      </c>
    </row>
    <row r="149" spans="1:6" ht="15.75" customHeight="1">
      <c r="A149" s="21"/>
      <c r="B149" s="16">
        <v>630</v>
      </c>
      <c r="C149" s="22" t="s">
        <v>393</v>
      </c>
      <c r="D149" s="208">
        <f>D150+D153+D156+D158</f>
        <v>360</v>
      </c>
      <c r="E149" s="18">
        <f>E150+E153+E156+E158</f>
        <v>360</v>
      </c>
      <c r="F149" s="18">
        <f>F150+F153+F156+F158</f>
        <v>196</v>
      </c>
    </row>
    <row r="150" spans="1:6" ht="15.75" customHeight="1">
      <c r="A150" s="21" t="s">
        <v>394</v>
      </c>
      <c r="B150" s="16">
        <v>632</v>
      </c>
      <c r="C150" s="17" t="s">
        <v>396</v>
      </c>
      <c r="D150" s="208">
        <f>SUM(D151:D152)</f>
        <v>130</v>
      </c>
      <c r="E150" s="18">
        <f>SUM(E151:E152)</f>
        <v>100</v>
      </c>
      <c r="F150" s="18">
        <f>SUM(F151:F152)</f>
        <v>41</v>
      </c>
    </row>
    <row r="151" spans="1:6" ht="15.75" customHeight="1">
      <c r="A151" s="19"/>
      <c r="B151" s="23">
        <v>632001</v>
      </c>
      <c r="C151" s="24" t="s">
        <v>448</v>
      </c>
      <c r="D151" s="209">
        <v>124</v>
      </c>
      <c r="E151" s="25">
        <v>94</v>
      </c>
      <c r="F151" s="25">
        <v>39</v>
      </c>
    </row>
    <row r="152" spans="1:6" ht="15.75" customHeight="1">
      <c r="A152" s="19"/>
      <c r="B152" s="23">
        <v>632003</v>
      </c>
      <c r="C152" s="24" t="s">
        <v>449</v>
      </c>
      <c r="D152" s="209">
        <v>6</v>
      </c>
      <c r="E152" s="25">
        <v>6</v>
      </c>
      <c r="F152" s="25">
        <v>2</v>
      </c>
    </row>
    <row r="153" spans="1:6" ht="15.75" customHeight="1">
      <c r="A153" s="19"/>
      <c r="B153" s="20">
        <v>633</v>
      </c>
      <c r="C153" s="17" t="s">
        <v>450</v>
      </c>
      <c r="D153" s="208">
        <f>SUM(D154:D155)</f>
        <v>95</v>
      </c>
      <c r="E153" s="18">
        <f>SUM(E154:E155)</f>
        <v>125</v>
      </c>
      <c r="F153" s="18">
        <f>SUM(F154:F155)</f>
        <v>56</v>
      </c>
    </row>
    <row r="154" spans="1:6" ht="15.75" customHeight="1">
      <c r="A154" s="19"/>
      <c r="B154" s="23">
        <v>633004</v>
      </c>
      <c r="C154" s="24" t="s">
        <v>402</v>
      </c>
      <c r="D154" s="217">
        <v>0</v>
      </c>
      <c r="E154" s="25">
        <v>30</v>
      </c>
      <c r="F154" s="25">
        <v>1</v>
      </c>
    </row>
    <row r="155" spans="1:6" ht="15.75" customHeight="1">
      <c r="A155" s="19"/>
      <c r="B155" s="23">
        <v>633006</v>
      </c>
      <c r="C155" s="24" t="s">
        <v>404</v>
      </c>
      <c r="D155" s="209">
        <v>95</v>
      </c>
      <c r="E155" s="25">
        <v>95</v>
      </c>
      <c r="F155" s="25">
        <v>55</v>
      </c>
    </row>
    <row r="156" spans="1:6" ht="15.75" customHeight="1">
      <c r="A156" s="19"/>
      <c r="B156" s="20">
        <v>635</v>
      </c>
      <c r="C156" s="22" t="s">
        <v>670</v>
      </c>
      <c r="D156" s="208">
        <f>SUM(D157)</f>
        <v>130</v>
      </c>
      <c r="E156" s="18">
        <f>SUM(E157)</f>
        <v>130</v>
      </c>
      <c r="F156" s="18">
        <f>SUM(F157)</f>
        <v>95</v>
      </c>
    </row>
    <row r="157" spans="1:6" ht="15.75" customHeight="1">
      <c r="A157" s="19"/>
      <c r="B157" s="23">
        <v>635006</v>
      </c>
      <c r="C157" s="24" t="s">
        <v>451</v>
      </c>
      <c r="D157" s="209">
        <v>130</v>
      </c>
      <c r="E157" s="25">
        <v>130</v>
      </c>
      <c r="F157" s="25">
        <v>95</v>
      </c>
    </row>
    <row r="158" spans="1:6" ht="15.75" customHeight="1">
      <c r="A158" s="19"/>
      <c r="B158" s="20">
        <v>637</v>
      </c>
      <c r="C158" s="22" t="s">
        <v>414</v>
      </c>
      <c r="D158" s="208">
        <f>SUM(D159)</f>
        <v>5</v>
      </c>
      <c r="E158" s="18">
        <f>SUM(E159)</f>
        <v>5</v>
      </c>
      <c r="F158" s="18">
        <f>SUM(F159)</f>
        <v>4</v>
      </c>
    </row>
    <row r="159" spans="1:6" ht="15.75" customHeight="1">
      <c r="A159" s="19"/>
      <c r="B159" s="23">
        <v>637004</v>
      </c>
      <c r="C159" s="24" t="s">
        <v>419</v>
      </c>
      <c r="D159" s="209">
        <v>5</v>
      </c>
      <c r="E159" s="25">
        <v>5</v>
      </c>
      <c r="F159" s="25">
        <v>4</v>
      </c>
    </row>
    <row r="160" spans="1:6" ht="15.75" customHeight="1">
      <c r="A160" s="72" t="s">
        <v>688</v>
      </c>
      <c r="B160" s="11" t="s">
        <v>687</v>
      </c>
      <c r="C160" s="12"/>
      <c r="D160" s="211">
        <f>SUM(D161+D182)</f>
        <v>600</v>
      </c>
      <c r="E160" s="14">
        <f>SUM(E161+E182)</f>
        <v>600</v>
      </c>
      <c r="F160" s="14">
        <f>SUM(F161+F182)</f>
        <v>480</v>
      </c>
    </row>
    <row r="161" spans="1:6" ht="15.75" customHeight="1">
      <c r="A161" s="21"/>
      <c r="B161" s="16">
        <v>630</v>
      </c>
      <c r="C161" s="22" t="s">
        <v>393</v>
      </c>
      <c r="D161" s="208">
        <f>D162+D164+D169+D173+D176+D178</f>
        <v>580</v>
      </c>
      <c r="E161" s="18">
        <f>E162+E164+E169+E173+E176+E178</f>
        <v>580</v>
      </c>
      <c r="F161" s="18">
        <f>F162+F164+F169+F173+F176+F178</f>
        <v>443</v>
      </c>
    </row>
    <row r="162" spans="1:6" ht="15.75" customHeight="1">
      <c r="A162" s="21" t="s">
        <v>394</v>
      </c>
      <c r="B162" s="16">
        <v>632</v>
      </c>
      <c r="C162" s="17" t="s">
        <v>396</v>
      </c>
      <c r="D162" s="208">
        <f>SUM(D163)</f>
        <v>70</v>
      </c>
      <c r="E162" s="18">
        <f>SUM(E163)</f>
        <v>70</v>
      </c>
      <c r="F162" s="18">
        <f>SUM(F163)</f>
        <v>52</v>
      </c>
    </row>
    <row r="163" spans="1:6" ht="15.75" customHeight="1">
      <c r="A163" s="19"/>
      <c r="B163" s="23">
        <v>632001</v>
      </c>
      <c r="C163" s="24" t="s">
        <v>448</v>
      </c>
      <c r="D163" s="209">
        <v>70</v>
      </c>
      <c r="E163" s="25">
        <v>70</v>
      </c>
      <c r="F163" s="25">
        <v>52</v>
      </c>
    </row>
    <row r="164" spans="1:6" ht="15.75" customHeight="1">
      <c r="A164" s="21"/>
      <c r="B164" s="16">
        <v>633</v>
      </c>
      <c r="C164" s="22" t="s">
        <v>397</v>
      </c>
      <c r="D164" s="208">
        <f>SUM(D165:D168)</f>
        <v>150</v>
      </c>
      <c r="E164" s="208">
        <f>SUM(E165:E168)</f>
        <v>150</v>
      </c>
      <c r="F164" s="208">
        <f>SUM(F165:F168)</f>
        <v>166</v>
      </c>
    </row>
    <row r="165" spans="1:6" ht="15.75" customHeight="1">
      <c r="A165" s="19"/>
      <c r="B165" s="23">
        <v>633006</v>
      </c>
      <c r="C165" s="24" t="s">
        <v>404</v>
      </c>
      <c r="D165" s="209">
        <v>0</v>
      </c>
      <c r="E165" s="25">
        <v>0</v>
      </c>
      <c r="F165" s="25">
        <v>5</v>
      </c>
    </row>
    <row r="166" spans="1:6" ht="15.75" customHeight="1">
      <c r="A166" s="19"/>
      <c r="B166" s="23">
        <v>633007</v>
      </c>
      <c r="C166" s="24" t="s">
        <v>452</v>
      </c>
      <c r="D166" s="209">
        <v>120</v>
      </c>
      <c r="E166" s="25">
        <v>120</v>
      </c>
      <c r="F166" s="25">
        <v>120</v>
      </c>
    </row>
    <row r="167" spans="1:6" ht="15.75" customHeight="1">
      <c r="A167" s="19"/>
      <c r="B167" s="23">
        <v>633009</v>
      </c>
      <c r="C167" s="24" t="s">
        <v>454</v>
      </c>
      <c r="D167" s="209">
        <v>0</v>
      </c>
      <c r="E167" s="25">
        <v>0</v>
      </c>
      <c r="F167" s="25">
        <v>2</v>
      </c>
    </row>
    <row r="168" spans="1:6" ht="15.75" customHeight="1">
      <c r="A168" s="19"/>
      <c r="B168" s="23">
        <v>633010</v>
      </c>
      <c r="C168" s="24" t="s">
        <v>453</v>
      </c>
      <c r="D168" s="209">
        <v>30</v>
      </c>
      <c r="E168" s="25">
        <v>30</v>
      </c>
      <c r="F168" s="25">
        <v>39</v>
      </c>
    </row>
    <row r="169" spans="1:6" ht="15.75" customHeight="1">
      <c r="A169" s="21"/>
      <c r="B169" s="16">
        <v>634</v>
      </c>
      <c r="C169" s="22" t="s">
        <v>410</v>
      </c>
      <c r="D169" s="208">
        <f>SUM(D170:D172)</f>
        <v>95</v>
      </c>
      <c r="E169" s="18">
        <f>SUM(E170:E172)</f>
        <v>95</v>
      </c>
      <c r="F169" s="18">
        <f>SUM(F170:F172)</f>
        <v>77</v>
      </c>
    </row>
    <row r="170" spans="1:6" ht="15.75" customHeight="1">
      <c r="A170" s="19"/>
      <c r="B170" s="26" t="s">
        <v>455</v>
      </c>
      <c r="C170" s="24" t="s">
        <v>456</v>
      </c>
      <c r="D170" s="209">
        <v>55</v>
      </c>
      <c r="E170" s="25">
        <v>55</v>
      </c>
      <c r="F170" s="25">
        <v>41</v>
      </c>
    </row>
    <row r="171" spans="1:6" ht="15.75" customHeight="1">
      <c r="A171" s="19"/>
      <c r="B171" s="23">
        <v>634002</v>
      </c>
      <c r="C171" s="24" t="s">
        <v>457</v>
      </c>
      <c r="D171" s="209">
        <v>40</v>
      </c>
      <c r="E171" s="25">
        <v>40</v>
      </c>
      <c r="F171" s="25">
        <v>36</v>
      </c>
    </row>
    <row r="172" spans="1:6" ht="15.75" customHeight="1">
      <c r="A172" s="19"/>
      <c r="B172" s="23">
        <v>634003</v>
      </c>
      <c r="C172" s="24" t="s">
        <v>411</v>
      </c>
      <c r="D172" s="209">
        <v>0</v>
      </c>
      <c r="E172" s="25">
        <v>0</v>
      </c>
      <c r="F172" s="25">
        <v>0</v>
      </c>
    </row>
    <row r="173" spans="1:6" ht="15.75" customHeight="1">
      <c r="A173" s="21"/>
      <c r="B173" s="16">
        <v>635</v>
      </c>
      <c r="C173" s="22" t="s">
        <v>670</v>
      </c>
      <c r="D173" s="208">
        <f>SUM(D174:D175)</f>
        <v>205</v>
      </c>
      <c r="E173" s="208">
        <f>SUM(E174:E175)</f>
        <v>205</v>
      </c>
      <c r="F173" s="208">
        <f>SUM(F174:F175)</f>
        <v>98</v>
      </c>
    </row>
    <row r="174" spans="1:6" ht="15.75" customHeight="1">
      <c r="A174" s="21"/>
      <c r="B174" s="23">
        <v>635005</v>
      </c>
      <c r="C174" s="24" t="s">
        <v>458</v>
      </c>
      <c r="D174" s="209">
        <v>190</v>
      </c>
      <c r="E174" s="25">
        <v>190</v>
      </c>
      <c r="F174" s="25">
        <v>90</v>
      </c>
    </row>
    <row r="175" spans="1:6" ht="15.75" customHeight="1">
      <c r="A175" s="19"/>
      <c r="B175" s="23">
        <v>635006</v>
      </c>
      <c r="C175" s="24" t="s">
        <v>451</v>
      </c>
      <c r="D175" s="209">
        <v>15</v>
      </c>
      <c r="E175" s="25">
        <v>15</v>
      </c>
      <c r="F175" s="25">
        <v>8</v>
      </c>
    </row>
    <row r="176" spans="1:6" ht="15.75" customHeight="1">
      <c r="A176" s="19"/>
      <c r="B176" s="20">
        <v>636</v>
      </c>
      <c r="C176" s="17" t="s">
        <v>413</v>
      </c>
      <c r="D176" s="208">
        <f>SUM(D177)</f>
        <v>40</v>
      </c>
      <c r="E176" s="18">
        <f>SUM(E177)</f>
        <v>40</v>
      </c>
      <c r="F176" s="18">
        <f>SUM(F177)</f>
        <v>33</v>
      </c>
    </row>
    <row r="177" spans="1:6" ht="15.75" customHeight="1">
      <c r="A177" s="19"/>
      <c r="B177" s="23">
        <v>636001</v>
      </c>
      <c r="C177" s="24" t="s">
        <v>451</v>
      </c>
      <c r="D177" s="209">
        <v>40</v>
      </c>
      <c r="E177" s="25">
        <v>40</v>
      </c>
      <c r="F177" s="25">
        <v>33</v>
      </c>
    </row>
    <row r="178" spans="1:6" ht="15.75" customHeight="1">
      <c r="A178" s="19"/>
      <c r="B178" s="16">
        <v>637</v>
      </c>
      <c r="C178" s="22" t="s">
        <v>414</v>
      </c>
      <c r="D178" s="208">
        <f>SUM(D179:D181)</f>
        <v>20</v>
      </c>
      <c r="E178" s="18">
        <f>SUM(E179:E181)</f>
        <v>20</v>
      </c>
      <c r="F178" s="18">
        <f>SUM(F179:F181)</f>
        <v>17</v>
      </c>
    </row>
    <row r="179" spans="1:6" ht="15.75" customHeight="1">
      <c r="A179" s="19"/>
      <c r="B179" s="26" t="s">
        <v>415</v>
      </c>
      <c r="C179" s="24" t="s">
        <v>442</v>
      </c>
      <c r="D179" s="209">
        <v>0</v>
      </c>
      <c r="E179" s="25">
        <v>0</v>
      </c>
      <c r="F179" s="25">
        <v>11</v>
      </c>
    </row>
    <row r="180" spans="1:6" ht="15.75" customHeight="1">
      <c r="A180" s="19"/>
      <c r="B180" s="23">
        <v>637002</v>
      </c>
      <c r="C180" s="24" t="s">
        <v>417</v>
      </c>
      <c r="D180" s="209">
        <v>0</v>
      </c>
      <c r="E180" s="25">
        <v>0</v>
      </c>
      <c r="F180" s="25">
        <v>6</v>
      </c>
    </row>
    <row r="181" spans="1:6" ht="15.75" customHeight="1">
      <c r="A181" s="69"/>
      <c r="B181" s="23">
        <v>637004</v>
      </c>
      <c r="C181" s="24" t="s">
        <v>419</v>
      </c>
      <c r="D181" s="209">
        <v>20</v>
      </c>
      <c r="E181" s="25">
        <v>20</v>
      </c>
      <c r="F181" s="25">
        <v>0</v>
      </c>
    </row>
    <row r="182" spans="1:6" ht="15.75" customHeight="1">
      <c r="A182" s="79"/>
      <c r="B182" s="20">
        <v>640</v>
      </c>
      <c r="C182" s="22" t="s">
        <v>435</v>
      </c>
      <c r="D182" s="208">
        <f>SUM(D183)</f>
        <v>20</v>
      </c>
      <c r="E182" s="18">
        <f>SUM(E183)</f>
        <v>20</v>
      </c>
      <c r="F182" s="18">
        <f>SUM(F183)</f>
        <v>37</v>
      </c>
    </row>
    <row r="183" spans="1:6" ht="15.75" customHeight="1">
      <c r="A183" s="69"/>
      <c r="B183" s="23">
        <v>642001</v>
      </c>
      <c r="C183" s="27" t="s">
        <v>436</v>
      </c>
      <c r="D183" s="209">
        <v>20</v>
      </c>
      <c r="E183" s="25">
        <v>20</v>
      </c>
      <c r="F183" s="25">
        <v>37</v>
      </c>
    </row>
    <row r="184" spans="1:6" ht="15.75" customHeight="1">
      <c r="A184" s="72" t="s">
        <v>628</v>
      </c>
      <c r="B184" s="11" t="s">
        <v>459</v>
      </c>
      <c r="C184" s="12"/>
      <c r="D184" s="1026">
        <f>SUM(D185+D186+D187+D223)</f>
        <v>38994</v>
      </c>
      <c r="E184" s="1027">
        <f>SUM(E185+E186+E187+E223)</f>
        <v>38994</v>
      </c>
      <c r="F184" s="14">
        <f>SUM(F185+F186+F187+F223)</f>
        <v>38670</v>
      </c>
    </row>
    <row r="185" spans="1:6" ht="15.75" customHeight="1">
      <c r="A185" s="79"/>
      <c r="B185" s="16">
        <v>610</v>
      </c>
      <c r="C185" s="17" t="s">
        <v>391</v>
      </c>
      <c r="D185" s="208">
        <v>22600</v>
      </c>
      <c r="E185" s="18">
        <f>D185</f>
        <v>22600</v>
      </c>
      <c r="F185" s="18">
        <v>22594</v>
      </c>
    </row>
    <row r="186" spans="1:6" ht="15.75" customHeight="1">
      <c r="A186" s="69"/>
      <c r="B186" s="20">
        <v>620</v>
      </c>
      <c r="C186" s="17" t="s">
        <v>392</v>
      </c>
      <c r="D186" s="208">
        <v>7899</v>
      </c>
      <c r="E186" s="18">
        <f>D186</f>
        <v>7899</v>
      </c>
      <c r="F186" s="18">
        <v>7879</v>
      </c>
    </row>
    <row r="187" spans="1:6" ht="15.75" customHeight="1">
      <c r="A187" s="79"/>
      <c r="B187" s="16">
        <v>630</v>
      </c>
      <c r="C187" s="22" t="s">
        <v>393</v>
      </c>
      <c r="D187" s="208">
        <f>D188+D190+D191+D205+D207+D208+D209</f>
        <v>8410</v>
      </c>
      <c r="E187" s="18">
        <f>E188+E190+E191+E205+E207+E208+E209</f>
        <v>8410</v>
      </c>
      <c r="F187" s="18">
        <f>F188+F190+F191+F205+F207+F208+F209</f>
        <v>8140</v>
      </c>
    </row>
    <row r="188" spans="1:6" ht="15.75" customHeight="1">
      <c r="A188" s="79" t="s">
        <v>394</v>
      </c>
      <c r="B188" s="16">
        <v>631</v>
      </c>
      <c r="C188" s="22" t="s">
        <v>395</v>
      </c>
      <c r="D188" s="208">
        <f>SUM(D189)</f>
        <v>20</v>
      </c>
      <c r="E188" s="18">
        <f>SUM(E189)</f>
        <v>20</v>
      </c>
      <c r="F188" s="18">
        <f>SUM(F189)</f>
        <v>10</v>
      </c>
    </row>
    <row r="189" spans="1:6" ht="15.75" customHeight="1">
      <c r="A189" s="69"/>
      <c r="B189" s="26" t="s">
        <v>460</v>
      </c>
      <c r="C189" s="24" t="s">
        <v>461</v>
      </c>
      <c r="D189" s="209">
        <v>20</v>
      </c>
      <c r="E189" s="18">
        <f>D189</f>
        <v>20</v>
      </c>
      <c r="F189" s="18">
        <v>10</v>
      </c>
    </row>
    <row r="190" spans="1:6" ht="15.75" customHeight="1">
      <c r="A190" s="79"/>
      <c r="B190" s="16">
        <v>632</v>
      </c>
      <c r="C190" s="17" t="s">
        <v>396</v>
      </c>
      <c r="D190" s="208">
        <v>1020</v>
      </c>
      <c r="E190" s="18">
        <v>800</v>
      </c>
      <c r="F190" s="18">
        <v>679</v>
      </c>
    </row>
    <row r="191" spans="1:6" ht="15.75" customHeight="1">
      <c r="A191" s="79"/>
      <c r="B191" s="16">
        <v>633</v>
      </c>
      <c r="C191" s="22" t="s">
        <v>397</v>
      </c>
      <c r="D191" s="208">
        <f>SUM(D192:D204)</f>
        <v>2613</v>
      </c>
      <c r="E191" s="18">
        <f>SUM(E192:E204)</f>
        <v>2818</v>
      </c>
      <c r="F191" s="18">
        <f>SUM(F192:F204)</f>
        <v>3145</v>
      </c>
    </row>
    <row r="192" spans="1:6" ht="15.75" customHeight="1">
      <c r="A192" s="69"/>
      <c r="B192" s="23">
        <v>633001</v>
      </c>
      <c r="C192" s="24" t="s">
        <v>398</v>
      </c>
      <c r="D192" s="209">
        <v>300</v>
      </c>
      <c r="E192" s="25">
        <v>280</v>
      </c>
      <c r="F192" s="25">
        <v>233</v>
      </c>
    </row>
    <row r="193" spans="1:6" ht="15.75" customHeight="1" thickBot="1">
      <c r="A193" s="76"/>
      <c r="B193" s="258" t="s">
        <v>399</v>
      </c>
      <c r="C193" s="77" t="s">
        <v>400</v>
      </c>
      <c r="D193" s="225">
        <v>100</v>
      </c>
      <c r="E193" s="78">
        <v>290</v>
      </c>
      <c r="F193" s="78">
        <v>231</v>
      </c>
    </row>
    <row r="194" spans="1:6" s="29" customFormat="1" ht="16.5" thickBot="1">
      <c r="A194" s="600"/>
      <c r="B194" s="2"/>
      <c r="C194" s="3"/>
      <c r="D194" s="205"/>
      <c r="E194" s="9"/>
      <c r="F194" s="8" t="s">
        <v>751</v>
      </c>
    </row>
    <row r="195" spans="1:6" ht="15.75" customHeight="1">
      <c r="A195" s="259"/>
      <c r="B195" s="260">
        <v>633003</v>
      </c>
      <c r="C195" s="261" t="s">
        <v>401</v>
      </c>
      <c r="D195" s="262">
        <v>280</v>
      </c>
      <c r="E195" s="263">
        <v>170</v>
      </c>
      <c r="F195" s="263">
        <v>238</v>
      </c>
    </row>
    <row r="196" spans="1:6" ht="15.75" customHeight="1">
      <c r="A196" s="69"/>
      <c r="B196" s="23">
        <v>633004</v>
      </c>
      <c r="C196" s="24" t="s">
        <v>402</v>
      </c>
      <c r="D196" s="209">
        <v>100</v>
      </c>
      <c r="E196" s="25">
        <v>130</v>
      </c>
      <c r="F196" s="25">
        <v>299</v>
      </c>
    </row>
    <row r="197" spans="1:6" ht="15.75" customHeight="1">
      <c r="A197" s="69"/>
      <c r="B197" s="23">
        <v>633005</v>
      </c>
      <c r="C197" s="24" t="s">
        <v>420</v>
      </c>
      <c r="D197" s="209">
        <v>0</v>
      </c>
      <c r="E197" s="25">
        <v>110</v>
      </c>
      <c r="F197" s="25">
        <v>138</v>
      </c>
    </row>
    <row r="198" spans="1:6" ht="15.75" customHeight="1">
      <c r="A198" s="69"/>
      <c r="B198" s="23">
        <v>633006</v>
      </c>
      <c r="C198" s="24" t="s">
        <v>404</v>
      </c>
      <c r="D198" s="209">
        <v>220</v>
      </c>
      <c r="E198" s="25">
        <v>180</v>
      </c>
      <c r="F198" s="25">
        <v>221</v>
      </c>
    </row>
    <row r="199" spans="1:6" ht="15.75" customHeight="1">
      <c r="A199" s="69"/>
      <c r="B199" s="23">
        <v>633007</v>
      </c>
      <c r="C199" s="24" t="s">
        <v>452</v>
      </c>
      <c r="D199" s="209">
        <v>50</v>
      </c>
      <c r="E199" s="25">
        <v>50</v>
      </c>
      <c r="F199" s="25">
        <v>13</v>
      </c>
    </row>
    <row r="200" spans="1:6" ht="15.75" customHeight="1">
      <c r="A200" s="69"/>
      <c r="B200" s="23">
        <v>633009</v>
      </c>
      <c r="C200" s="24" t="s">
        <v>405</v>
      </c>
      <c r="D200" s="209">
        <v>5</v>
      </c>
      <c r="E200" s="25">
        <v>5</v>
      </c>
      <c r="F200" s="25">
        <v>1</v>
      </c>
    </row>
    <row r="201" spans="1:6" ht="15.75" customHeight="1">
      <c r="A201" s="71"/>
      <c r="B201" s="23">
        <v>633010</v>
      </c>
      <c r="C201" s="24" t="s">
        <v>406</v>
      </c>
      <c r="D201" s="209">
        <v>1500</v>
      </c>
      <c r="E201" s="25">
        <v>1485</v>
      </c>
      <c r="F201" s="25">
        <v>1668</v>
      </c>
    </row>
    <row r="202" spans="1:6" ht="15.75" customHeight="1">
      <c r="A202" s="69"/>
      <c r="B202" s="23">
        <v>633011</v>
      </c>
      <c r="C202" s="24" t="s">
        <v>462</v>
      </c>
      <c r="D202" s="209">
        <v>50</v>
      </c>
      <c r="E202" s="25">
        <v>60</v>
      </c>
      <c r="F202" s="25">
        <v>45</v>
      </c>
    </row>
    <row r="203" spans="1:6" ht="15.75" customHeight="1">
      <c r="A203" s="69"/>
      <c r="B203" s="23">
        <v>633013</v>
      </c>
      <c r="C203" s="24" t="s">
        <v>407</v>
      </c>
      <c r="D203" s="209">
        <v>0</v>
      </c>
      <c r="E203" s="25">
        <v>50</v>
      </c>
      <c r="F203" s="25">
        <v>50</v>
      </c>
    </row>
    <row r="204" spans="1:6" ht="15.75" customHeight="1">
      <c r="A204" s="69"/>
      <c r="B204" s="23">
        <v>633016</v>
      </c>
      <c r="C204" s="24" t="s">
        <v>409</v>
      </c>
      <c r="D204" s="209">
        <v>8</v>
      </c>
      <c r="E204" s="25">
        <v>8</v>
      </c>
      <c r="F204" s="25">
        <v>8</v>
      </c>
    </row>
    <row r="205" spans="1:6" ht="15.75" customHeight="1">
      <c r="A205" s="79"/>
      <c r="B205" s="16">
        <v>634</v>
      </c>
      <c r="C205" s="22" t="s">
        <v>410</v>
      </c>
      <c r="D205" s="210">
        <v>1555</v>
      </c>
      <c r="E205" s="184">
        <v>1360</v>
      </c>
      <c r="F205" s="18">
        <v>970</v>
      </c>
    </row>
    <row r="206" spans="1:6" ht="15.75" customHeight="1">
      <c r="A206" s="69" t="s">
        <v>394</v>
      </c>
      <c r="B206" s="23">
        <v>634003</v>
      </c>
      <c r="C206" s="24" t="s">
        <v>426</v>
      </c>
      <c r="D206" s="218">
        <v>180</v>
      </c>
      <c r="E206" s="191">
        <v>180</v>
      </c>
      <c r="F206" s="25">
        <v>11</v>
      </c>
    </row>
    <row r="207" spans="1:6" ht="15.75" customHeight="1">
      <c r="A207" s="79"/>
      <c r="B207" s="16">
        <v>635</v>
      </c>
      <c r="C207" s="22" t="s">
        <v>670</v>
      </c>
      <c r="D207" s="208">
        <v>665</v>
      </c>
      <c r="E207" s="18">
        <v>875</v>
      </c>
      <c r="F207" s="18">
        <v>752</v>
      </c>
    </row>
    <row r="208" spans="1:6" ht="15.75" customHeight="1">
      <c r="A208" s="79"/>
      <c r="B208" s="20">
        <v>636</v>
      </c>
      <c r="C208" s="17" t="s">
        <v>413</v>
      </c>
      <c r="D208" s="208">
        <v>15</v>
      </c>
      <c r="E208" s="18">
        <v>15</v>
      </c>
      <c r="F208" s="18">
        <v>215</v>
      </c>
    </row>
    <row r="209" spans="1:6" ht="15.75" customHeight="1">
      <c r="A209" s="79"/>
      <c r="B209" s="16">
        <v>637</v>
      </c>
      <c r="C209" s="22" t="s">
        <v>414</v>
      </c>
      <c r="D209" s="208">
        <f>SUM(D210:D222)</f>
        <v>2522</v>
      </c>
      <c r="E209" s="18">
        <f>SUM(E210:E222)</f>
        <v>2522</v>
      </c>
      <c r="F209" s="18">
        <f>SUM(F210:F222)</f>
        <v>2369</v>
      </c>
    </row>
    <row r="210" spans="1:6" ht="15.75" customHeight="1">
      <c r="A210" s="69"/>
      <c r="B210" s="26" t="s">
        <v>415</v>
      </c>
      <c r="C210" s="24" t="s">
        <v>442</v>
      </c>
      <c r="D210" s="209">
        <v>50</v>
      </c>
      <c r="E210" s="25">
        <v>50</v>
      </c>
      <c r="F210" s="25">
        <v>30</v>
      </c>
    </row>
    <row r="211" spans="1:6" ht="15.75" customHeight="1">
      <c r="A211" s="69"/>
      <c r="B211" s="23">
        <v>637002</v>
      </c>
      <c r="C211" s="24" t="s">
        <v>417</v>
      </c>
      <c r="D211" s="209">
        <v>60</v>
      </c>
      <c r="E211" s="25">
        <v>50</v>
      </c>
      <c r="F211" s="25">
        <v>43</v>
      </c>
    </row>
    <row r="212" spans="1:6" ht="15.75" customHeight="1">
      <c r="A212" s="69"/>
      <c r="B212" s="23">
        <v>637003</v>
      </c>
      <c r="C212" s="24" t="s">
        <v>418</v>
      </c>
      <c r="D212" s="209">
        <v>0</v>
      </c>
      <c r="E212" s="25">
        <v>0</v>
      </c>
      <c r="F212" s="25">
        <v>6</v>
      </c>
    </row>
    <row r="213" spans="1:6" ht="15.75" customHeight="1">
      <c r="A213" s="69"/>
      <c r="B213" s="23">
        <v>637004</v>
      </c>
      <c r="C213" s="24" t="s">
        <v>419</v>
      </c>
      <c r="D213" s="209">
        <v>70</v>
      </c>
      <c r="E213" s="25">
        <v>90</v>
      </c>
      <c r="F213" s="25">
        <v>115</v>
      </c>
    </row>
    <row r="214" spans="1:6" ht="15.75" customHeight="1">
      <c r="A214" s="69"/>
      <c r="B214" s="23">
        <v>637005</v>
      </c>
      <c r="C214" s="24" t="s">
        <v>420</v>
      </c>
      <c r="D214" s="209">
        <v>90</v>
      </c>
      <c r="E214" s="25">
        <v>90</v>
      </c>
      <c r="F214" s="25">
        <v>82</v>
      </c>
    </row>
    <row r="215" spans="1:6" ht="15.75" customHeight="1">
      <c r="A215" s="69"/>
      <c r="B215" s="23">
        <v>637006</v>
      </c>
      <c r="C215" s="24" t="s">
        <v>421</v>
      </c>
      <c r="D215" s="209">
        <v>180</v>
      </c>
      <c r="E215" s="25">
        <v>120</v>
      </c>
      <c r="F215" s="25">
        <v>60</v>
      </c>
    </row>
    <row r="216" spans="1:6" ht="15.75" customHeight="1">
      <c r="A216" s="69"/>
      <c r="B216" s="23">
        <v>637007</v>
      </c>
      <c r="C216" s="24" t="s">
        <v>395</v>
      </c>
      <c r="D216" s="209">
        <v>10</v>
      </c>
      <c r="E216" s="25">
        <v>5</v>
      </c>
      <c r="F216" s="25">
        <v>0</v>
      </c>
    </row>
    <row r="217" spans="1:6" ht="15.75" customHeight="1">
      <c r="A217" s="69"/>
      <c r="B217" s="23">
        <v>637011</v>
      </c>
      <c r="C217" s="24" t="s">
        <v>423</v>
      </c>
      <c r="D217" s="209">
        <v>15</v>
      </c>
      <c r="E217" s="25">
        <v>10</v>
      </c>
      <c r="F217" s="25">
        <v>1</v>
      </c>
    </row>
    <row r="218" spans="1:6" ht="15.75" customHeight="1">
      <c r="A218" s="69"/>
      <c r="B218" s="23">
        <v>637012</v>
      </c>
      <c r="C218" s="24" t="s">
        <v>445</v>
      </c>
      <c r="D218" s="209">
        <v>0</v>
      </c>
      <c r="E218" s="25">
        <v>50</v>
      </c>
      <c r="F218" s="25">
        <v>52</v>
      </c>
    </row>
    <row r="219" spans="1:6" ht="15.75" customHeight="1">
      <c r="A219" s="69"/>
      <c r="B219" s="23">
        <v>637014</v>
      </c>
      <c r="C219" s="24" t="s">
        <v>425</v>
      </c>
      <c r="D219" s="209">
        <v>1150</v>
      </c>
      <c r="E219" s="25">
        <v>1150</v>
      </c>
      <c r="F219" s="25">
        <v>1043</v>
      </c>
    </row>
    <row r="220" spans="1:6" ht="15.75" customHeight="1">
      <c r="A220" s="69"/>
      <c r="B220" s="23">
        <v>637015</v>
      </c>
      <c r="C220" s="24" t="s">
        <v>426</v>
      </c>
      <c r="D220" s="209">
        <v>280</v>
      </c>
      <c r="E220" s="25">
        <v>230</v>
      </c>
      <c r="F220" s="25">
        <v>169</v>
      </c>
    </row>
    <row r="221" spans="1:6" ht="15.75" customHeight="1">
      <c r="A221" s="69"/>
      <c r="B221" s="23">
        <v>637016</v>
      </c>
      <c r="C221" s="24" t="s">
        <v>427</v>
      </c>
      <c r="D221" s="209">
        <v>327</v>
      </c>
      <c r="E221" s="25">
        <v>327</v>
      </c>
      <c r="F221" s="25">
        <v>347</v>
      </c>
    </row>
    <row r="222" spans="1:6" ht="15.75" customHeight="1">
      <c r="A222" s="69"/>
      <c r="B222" s="23">
        <v>637027</v>
      </c>
      <c r="C222" s="24" t="s">
        <v>432</v>
      </c>
      <c r="D222" s="209">
        <v>290</v>
      </c>
      <c r="E222" s="25">
        <v>350</v>
      </c>
      <c r="F222" s="25">
        <v>421</v>
      </c>
    </row>
    <row r="223" spans="1:6" ht="15.75" customHeight="1">
      <c r="A223" s="79"/>
      <c r="B223" s="20">
        <v>640</v>
      </c>
      <c r="C223" s="22" t="s">
        <v>435</v>
      </c>
      <c r="D223" s="208">
        <f>SUM(D224:D225)</f>
        <v>85</v>
      </c>
      <c r="E223" s="18">
        <f>SUM(E224:E225)</f>
        <v>85</v>
      </c>
      <c r="F223" s="18">
        <f>SUM(F224:F225)</f>
        <v>57</v>
      </c>
    </row>
    <row r="224" spans="1:6" ht="15.75" customHeight="1">
      <c r="A224" s="69"/>
      <c r="B224" s="23">
        <v>642006</v>
      </c>
      <c r="C224" s="27" t="s">
        <v>437</v>
      </c>
      <c r="D224" s="209">
        <v>5</v>
      </c>
      <c r="E224" s="25">
        <v>5</v>
      </c>
      <c r="F224" s="25">
        <v>5</v>
      </c>
    </row>
    <row r="225" spans="1:6" ht="15.75" customHeight="1">
      <c r="A225" s="69"/>
      <c r="B225" s="23">
        <v>642015</v>
      </c>
      <c r="C225" s="27" t="s">
        <v>440</v>
      </c>
      <c r="D225" s="209">
        <v>80</v>
      </c>
      <c r="E225" s="25">
        <v>80</v>
      </c>
      <c r="F225" s="25">
        <v>52</v>
      </c>
    </row>
    <row r="226" spans="1:6" ht="15.75" customHeight="1">
      <c r="A226" s="72" t="s">
        <v>689</v>
      </c>
      <c r="B226" s="11" t="s">
        <v>251</v>
      </c>
      <c r="C226" s="12"/>
      <c r="D226" s="211">
        <f>D227+D228+D229+D243</f>
        <v>2646</v>
      </c>
      <c r="E226" s="14">
        <f>E227+E228+E229+E243</f>
        <v>2646</v>
      </c>
      <c r="F226" s="14">
        <f>F227+F228+F229+F243</f>
        <v>2318</v>
      </c>
    </row>
    <row r="227" spans="1:6" ht="15.75" customHeight="1">
      <c r="A227" s="79"/>
      <c r="B227" s="16">
        <v>610</v>
      </c>
      <c r="C227" s="17" t="s">
        <v>391</v>
      </c>
      <c r="D227" s="208">
        <v>890</v>
      </c>
      <c r="E227" s="18">
        <v>890</v>
      </c>
      <c r="F227" s="18">
        <v>890</v>
      </c>
    </row>
    <row r="228" spans="1:6" ht="15.75" customHeight="1">
      <c r="A228" s="69"/>
      <c r="B228" s="20">
        <v>620</v>
      </c>
      <c r="C228" s="17" t="s">
        <v>392</v>
      </c>
      <c r="D228" s="208">
        <v>311</v>
      </c>
      <c r="E228" s="18">
        <v>311</v>
      </c>
      <c r="F228" s="18">
        <v>298</v>
      </c>
    </row>
    <row r="229" spans="1:6" ht="15.75" customHeight="1">
      <c r="A229" s="79"/>
      <c r="B229" s="16">
        <v>630</v>
      </c>
      <c r="C229" s="22" t="s">
        <v>393</v>
      </c>
      <c r="D229" s="208">
        <f>D230+D231+D237+D238</f>
        <v>1425</v>
      </c>
      <c r="E229" s="18">
        <f>E230+E231+E237+E238</f>
        <v>1425</v>
      </c>
      <c r="F229" s="18">
        <f>F230+F231+F237+F238</f>
        <v>1126</v>
      </c>
    </row>
    <row r="230" spans="1:6" ht="15.75" customHeight="1">
      <c r="A230" s="79" t="s">
        <v>394</v>
      </c>
      <c r="B230" s="16">
        <v>632</v>
      </c>
      <c r="C230" s="17" t="s">
        <v>396</v>
      </c>
      <c r="D230" s="208">
        <v>135</v>
      </c>
      <c r="E230" s="18">
        <v>135</v>
      </c>
      <c r="F230" s="18">
        <v>44</v>
      </c>
    </row>
    <row r="231" spans="1:6" ht="15.75" customHeight="1">
      <c r="A231" s="69"/>
      <c r="B231" s="16">
        <v>633</v>
      </c>
      <c r="C231" s="22" t="s">
        <v>397</v>
      </c>
      <c r="D231" s="208">
        <f>SUM(D232:D236)</f>
        <v>1200</v>
      </c>
      <c r="E231" s="18">
        <f>SUM(E232:E236)</f>
        <v>1200</v>
      </c>
      <c r="F231" s="18">
        <f>SUM(F232:F236)</f>
        <v>1049</v>
      </c>
    </row>
    <row r="232" spans="1:6" ht="15.75" customHeight="1">
      <c r="A232" s="69"/>
      <c r="B232" s="23">
        <v>633001</v>
      </c>
      <c r="C232" s="27" t="s">
        <v>398</v>
      </c>
      <c r="D232" s="209">
        <v>20</v>
      </c>
      <c r="E232" s="25">
        <v>20</v>
      </c>
      <c r="F232" s="25">
        <v>0</v>
      </c>
    </row>
    <row r="233" spans="1:6" ht="15.75" customHeight="1">
      <c r="A233" s="69"/>
      <c r="B233" s="23">
        <v>633004</v>
      </c>
      <c r="C233" s="27" t="s">
        <v>463</v>
      </c>
      <c r="D233" s="209">
        <v>50</v>
      </c>
      <c r="E233" s="25">
        <v>50</v>
      </c>
      <c r="F233" s="25">
        <v>21</v>
      </c>
    </row>
    <row r="234" spans="1:6" ht="15.75" customHeight="1">
      <c r="A234" s="69"/>
      <c r="B234" s="23">
        <v>633006</v>
      </c>
      <c r="C234" s="27" t="s">
        <v>404</v>
      </c>
      <c r="D234" s="209">
        <v>50</v>
      </c>
      <c r="E234" s="25">
        <v>50</v>
      </c>
      <c r="F234" s="25">
        <v>13</v>
      </c>
    </row>
    <row r="235" spans="1:6" ht="15.75" customHeight="1">
      <c r="A235" s="69"/>
      <c r="B235" s="23">
        <v>633010</v>
      </c>
      <c r="C235" s="24" t="s">
        <v>464</v>
      </c>
      <c r="D235" s="209">
        <v>10</v>
      </c>
      <c r="E235" s="25">
        <v>10</v>
      </c>
      <c r="F235" s="25">
        <v>7</v>
      </c>
    </row>
    <row r="236" spans="1:6" ht="15.75" customHeight="1">
      <c r="A236" s="69"/>
      <c r="B236" s="23">
        <v>633011</v>
      </c>
      <c r="C236" s="24" t="s">
        <v>462</v>
      </c>
      <c r="D236" s="209">
        <v>1070</v>
      </c>
      <c r="E236" s="25">
        <v>1070</v>
      </c>
      <c r="F236" s="25">
        <v>1008</v>
      </c>
    </row>
    <row r="237" spans="1:6" ht="15.75" customHeight="1">
      <c r="A237" s="69"/>
      <c r="B237" s="16">
        <v>635</v>
      </c>
      <c r="C237" s="22" t="s">
        <v>670</v>
      </c>
      <c r="D237" s="208">
        <v>50</v>
      </c>
      <c r="E237" s="18">
        <v>50</v>
      </c>
      <c r="F237" s="18">
        <v>8</v>
      </c>
    </row>
    <row r="238" spans="1:6" ht="15.75" customHeight="1">
      <c r="A238" s="69"/>
      <c r="B238" s="16">
        <v>637</v>
      </c>
      <c r="C238" s="22" t="s">
        <v>414</v>
      </c>
      <c r="D238" s="208">
        <f>SUM(D239:D242)</f>
        <v>40</v>
      </c>
      <c r="E238" s="18">
        <f>SUM(E239:E242)</f>
        <v>40</v>
      </c>
      <c r="F238" s="18">
        <f>SUM(F239:F242)</f>
        <v>25</v>
      </c>
    </row>
    <row r="239" spans="1:6" ht="15.75" customHeight="1">
      <c r="A239" s="69"/>
      <c r="B239" s="23">
        <v>637004</v>
      </c>
      <c r="C239" s="24" t="s">
        <v>419</v>
      </c>
      <c r="D239" s="209">
        <v>20</v>
      </c>
      <c r="E239" s="25">
        <v>20</v>
      </c>
      <c r="F239" s="25">
        <v>12</v>
      </c>
    </row>
    <row r="240" spans="1:6" ht="15.75" customHeight="1">
      <c r="A240" s="69"/>
      <c r="B240" s="23">
        <v>637005</v>
      </c>
      <c r="C240" s="24" t="s">
        <v>420</v>
      </c>
      <c r="D240" s="209">
        <v>2</v>
      </c>
      <c r="E240" s="25">
        <v>2</v>
      </c>
      <c r="F240" s="25">
        <v>0</v>
      </c>
    </row>
    <row r="241" spans="1:6" ht="15.75" customHeight="1">
      <c r="A241" s="69"/>
      <c r="B241" s="23">
        <v>637016</v>
      </c>
      <c r="C241" s="24" t="s">
        <v>427</v>
      </c>
      <c r="D241" s="209">
        <v>13</v>
      </c>
      <c r="E241" s="25">
        <v>13</v>
      </c>
      <c r="F241" s="25">
        <v>13</v>
      </c>
    </row>
    <row r="242" spans="1:6" ht="15.75" customHeight="1">
      <c r="A242" s="69"/>
      <c r="B242" s="23">
        <v>637027</v>
      </c>
      <c r="C242" s="24" t="s">
        <v>432</v>
      </c>
      <c r="D242" s="209">
        <v>5</v>
      </c>
      <c r="E242" s="25">
        <v>5</v>
      </c>
      <c r="F242" s="25">
        <v>0</v>
      </c>
    </row>
    <row r="243" spans="1:6" ht="15.75" customHeight="1">
      <c r="A243" s="69"/>
      <c r="B243" s="16">
        <v>640</v>
      </c>
      <c r="C243" s="22" t="s">
        <v>435</v>
      </c>
      <c r="D243" s="208">
        <f>SUM(D244)</f>
        <v>20</v>
      </c>
      <c r="E243" s="18">
        <f>SUM(E244)</f>
        <v>20</v>
      </c>
      <c r="F243" s="18">
        <f>SUM(F244)</f>
        <v>4</v>
      </c>
    </row>
    <row r="244" spans="1:6" ht="15.75" customHeight="1">
      <c r="A244" s="69"/>
      <c r="B244" s="23">
        <v>642015</v>
      </c>
      <c r="C244" s="24" t="s">
        <v>440</v>
      </c>
      <c r="D244" s="209">
        <v>20</v>
      </c>
      <c r="E244" s="25">
        <v>20</v>
      </c>
      <c r="F244" s="25">
        <v>4</v>
      </c>
    </row>
    <row r="245" spans="1:6" ht="15.75" customHeight="1">
      <c r="A245" s="72" t="s">
        <v>760</v>
      </c>
      <c r="B245" s="11" t="s">
        <v>690</v>
      </c>
      <c r="C245" s="12"/>
      <c r="D245" s="211">
        <f>D246+D247+D248</f>
        <v>0</v>
      </c>
      <c r="E245" s="14">
        <f>E246+E247+E248</f>
        <v>368</v>
      </c>
      <c r="F245" s="14">
        <f>F246+F247+F248</f>
        <v>780</v>
      </c>
    </row>
    <row r="246" spans="1:6" ht="15.75" customHeight="1">
      <c r="A246" s="79"/>
      <c r="B246" s="16">
        <v>610</v>
      </c>
      <c r="C246" s="17" t="s">
        <v>391</v>
      </c>
      <c r="D246" s="208">
        <v>0</v>
      </c>
      <c r="E246" s="18">
        <v>192</v>
      </c>
      <c r="F246" s="18">
        <v>471</v>
      </c>
    </row>
    <row r="247" spans="1:6" ht="15.75" customHeight="1">
      <c r="A247" s="79"/>
      <c r="B247" s="20">
        <v>620</v>
      </c>
      <c r="C247" s="17" t="s">
        <v>392</v>
      </c>
      <c r="D247" s="208">
        <v>0</v>
      </c>
      <c r="E247" s="18">
        <v>67</v>
      </c>
      <c r="F247" s="18">
        <v>165</v>
      </c>
    </row>
    <row r="248" spans="1:6" ht="15.75" customHeight="1">
      <c r="A248" s="79"/>
      <c r="B248" s="16">
        <v>630</v>
      </c>
      <c r="C248" s="22" t="s">
        <v>393</v>
      </c>
      <c r="D248" s="208">
        <f>SUM(D249+D253+D254+D255)</f>
        <v>0</v>
      </c>
      <c r="E248" s="18">
        <f>SUM(E249+E253+E254+E255)</f>
        <v>109</v>
      </c>
      <c r="F248" s="18">
        <f>SUM(F249+F253+F254+F255)</f>
        <v>144</v>
      </c>
    </row>
    <row r="249" spans="1:6" ht="15.75" customHeight="1">
      <c r="A249" s="79" t="s">
        <v>394</v>
      </c>
      <c r="B249" s="16">
        <v>633</v>
      </c>
      <c r="C249" s="22" t="s">
        <v>397</v>
      </c>
      <c r="D249" s="208">
        <f>SUM(D250:D252)</f>
        <v>0</v>
      </c>
      <c r="E249" s="18">
        <f>SUM(E250:E252)</f>
        <v>70</v>
      </c>
      <c r="F249" s="18">
        <f>SUM(F250:F252)</f>
        <v>73</v>
      </c>
    </row>
    <row r="250" spans="1:6" ht="15.75" customHeight="1">
      <c r="A250" s="69"/>
      <c r="B250" s="23">
        <v>633006</v>
      </c>
      <c r="C250" s="27" t="s">
        <v>404</v>
      </c>
      <c r="D250" s="209">
        <v>0</v>
      </c>
      <c r="E250" s="25">
        <v>18</v>
      </c>
      <c r="F250" s="25">
        <v>20</v>
      </c>
    </row>
    <row r="251" spans="1:6" ht="15.75" customHeight="1">
      <c r="A251" s="69"/>
      <c r="B251" s="23">
        <v>633010</v>
      </c>
      <c r="C251" s="24" t="s">
        <v>464</v>
      </c>
      <c r="D251" s="209">
        <v>0</v>
      </c>
      <c r="E251" s="25">
        <v>51</v>
      </c>
      <c r="F251" s="25">
        <v>51</v>
      </c>
    </row>
    <row r="252" spans="1:6" ht="15.75" customHeight="1">
      <c r="A252" s="69"/>
      <c r="B252" s="23">
        <v>633015</v>
      </c>
      <c r="C252" s="24" t="s">
        <v>408</v>
      </c>
      <c r="D252" s="209">
        <v>0</v>
      </c>
      <c r="E252" s="25">
        <v>1</v>
      </c>
      <c r="F252" s="25">
        <v>2</v>
      </c>
    </row>
    <row r="253" spans="1:6" ht="15.75" customHeight="1">
      <c r="A253" s="69"/>
      <c r="B253" s="16">
        <v>634</v>
      </c>
      <c r="C253" s="22" t="s">
        <v>410</v>
      </c>
      <c r="D253" s="208">
        <v>0</v>
      </c>
      <c r="E253" s="18">
        <v>2</v>
      </c>
      <c r="F253" s="18">
        <v>3</v>
      </c>
    </row>
    <row r="254" spans="1:6" ht="15.75" customHeight="1">
      <c r="A254" s="69"/>
      <c r="B254" s="16">
        <v>635</v>
      </c>
      <c r="C254" s="22" t="s">
        <v>412</v>
      </c>
      <c r="D254" s="208">
        <v>0</v>
      </c>
      <c r="E254" s="18">
        <v>1</v>
      </c>
      <c r="F254" s="18">
        <v>1</v>
      </c>
    </row>
    <row r="255" spans="1:6" ht="15.75" customHeight="1">
      <c r="A255" s="69"/>
      <c r="B255" s="16">
        <v>637</v>
      </c>
      <c r="C255" s="22" t="s">
        <v>414</v>
      </c>
      <c r="D255" s="208">
        <f>SUM(D256:D258)</f>
        <v>0</v>
      </c>
      <c r="E255" s="18">
        <f>SUM(E256:E258)</f>
        <v>36</v>
      </c>
      <c r="F255" s="18">
        <f>SUM(F256:F258)</f>
        <v>67</v>
      </c>
    </row>
    <row r="256" spans="1:6" ht="15.75" customHeight="1">
      <c r="A256" s="69"/>
      <c r="B256" s="23">
        <v>637014</v>
      </c>
      <c r="C256" s="24" t="s">
        <v>425</v>
      </c>
      <c r="D256" s="209">
        <v>0</v>
      </c>
      <c r="E256" s="25">
        <v>22</v>
      </c>
      <c r="F256" s="25">
        <v>41</v>
      </c>
    </row>
    <row r="257" spans="1:6" ht="15.75" customHeight="1">
      <c r="A257" s="69"/>
      <c r="B257" s="23">
        <v>637015</v>
      </c>
      <c r="C257" s="24" t="s">
        <v>426</v>
      </c>
      <c r="D257" s="209">
        <v>0</v>
      </c>
      <c r="E257" s="25">
        <v>11</v>
      </c>
      <c r="F257" s="25">
        <v>19</v>
      </c>
    </row>
    <row r="258" spans="1:6" ht="15.75" customHeight="1" thickBot="1">
      <c r="A258" s="76"/>
      <c r="B258" s="254">
        <v>637016</v>
      </c>
      <c r="C258" s="77" t="s">
        <v>427</v>
      </c>
      <c r="D258" s="225">
        <v>0</v>
      </c>
      <c r="E258" s="78">
        <v>3</v>
      </c>
      <c r="F258" s="78">
        <v>7</v>
      </c>
    </row>
    <row r="259" spans="1:6" s="29" customFormat="1" ht="16.5" thickBot="1">
      <c r="A259" s="600"/>
      <c r="B259" s="48"/>
      <c r="C259" s="3"/>
      <c r="D259" s="205"/>
      <c r="E259" s="9"/>
      <c r="F259" s="8" t="s">
        <v>752</v>
      </c>
    </row>
    <row r="260" spans="1:7" ht="15.75" customHeight="1">
      <c r="A260" s="199" t="s">
        <v>761</v>
      </c>
      <c r="B260" s="257" t="s">
        <v>691</v>
      </c>
      <c r="C260" s="200"/>
      <c r="D260" s="207">
        <f>SUM(D261+D263)</f>
        <v>0</v>
      </c>
      <c r="E260" s="13">
        <f>SUM(E261+E263)</f>
        <v>7</v>
      </c>
      <c r="F260" s="315">
        <f>SUM(F261+F263)</f>
        <v>102</v>
      </c>
      <c r="G260" s="51">
        <f>SUM(E260:F260)</f>
        <v>109</v>
      </c>
    </row>
    <row r="261" spans="1:6" ht="15.75" customHeight="1">
      <c r="A261" s="69"/>
      <c r="B261" s="16">
        <v>633</v>
      </c>
      <c r="C261" s="22" t="s">
        <v>397</v>
      </c>
      <c r="D261" s="208">
        <f>SUM(D262)</f>
        <v>0</v>
      </c>
      <c r="E261" s="18">
        <f>SUM(E262)</f>
        <v>1</v>
      </c>
      <c r="F261" s="253">
        <f>SUM(F262)</f>
        <v>7</v>
      </c>
    </row>
    <row r="262" spans="1:6" ht="15.75" customHeight="1">
      <c r="A262" s="69"/>
      <c r="B262" s="23">
        <v>633006</v>
      </c>
      <c r="C262" s="27" t="s">
        <v>404</v>
      </c>
      <c r="D262" s="209">
        <v>0</v>
      </c>
      <c r="E262" s="25">
        <v>1</v>
      </c>
      <c r="F262" s="316">
        <v>7</v>
      </c>
    </row>
    <row r="263" spans="1:6" ht="15.75" customHeight="1">
      <c r="A263" s="79"/>
      <c r="B263" s="20">
        <v>637</v>
      </c>
      <c r="C263" s="17" t="s">
        <v>414</v>
      </c>
      <c r="D263" s="208">
        <f>SUM(D264)</f>
        <v>0</v>
      </c>
      <c r="E263" s="18">
        <f>SUM(E264)</f>
        <v>6</v>
      </c>
      <c r="F263" s="253">
        <f>SUM(F264)</f>
        <v>95</v>
      </c>
    </row>
    <row r="264" spans="1:6" ht="15.75" customHeight="1">
      <c r="A264" s="69"/>
      <c r="B264" s="23">
        <v>637004</v>
      </c>
      <c r="C264" s="24" t="s">
        <v>419</v>
      </c>
      <c r="D264" s="209">
        <v>0</v>
      </c>
      <c r="E264" s="25">
        <v>6</v>
      </c>
      <c r="F264" s="316">
        <v>95</v>
      </c>
    </row>
    <row r="265" spans="1:6" ht="15.75" customHeight="1">
      <c r="A265" s="72" t="s">
        <v>762</v>
      </c>
      <c r="B265" s="11" t="s">
        <v>692</v>
      </c>
      <c r="C265" s="12"/>
      <c r="D265" s="211">
        <f>D266</f>
        <v>1840</v>
      </c>
      <c r="E265" s="14">
        <f>E266</f>
        <v>1840</v>
      </c>
      <c r="F265" s="312">
        <f>F266</f>
        <v>3249</v>
      </c>
    </row>
    <row r="266" spans="1:6" ht="15.75" customHeight="1">
      <c r="A266" s="79"/>
      <c r="B266" s="16">
        <v>637</v>
      </c>
      <c r="C266" s="22" t="s">
        <v>414</v>
      </c>
      <c r="D266" s="208">
        <f>SUM(D267)</f>
        <v>1840</v>
      </c>
      <c r="E266" s="18">
        <f>SUM(E267)</f>
        <v>1840</v>
      </c>
      <c r="F266" s="253">
        <f>SUM(F267)</f>
        <v>3249</v>
      </c>
    </row>
    <row r="267" spans="1:6" ht="15.75" customHeight="1">
      <c r="A267" s="69"/>
      <c r="B267" s="23">
        <v>637004</v>
      </c>
      <c r="C267" s="24" t="s">
        <v>419</v>
      </c>
      <c r="D267" s="209">
        <v>1840</v>
      </c>
      <c r="E267" s="25">
        <v>1840</v>
      </c>
      <c r="F267" s="316">
        <v>3249</v>
      </c>
    </row>
    <row r="268" spans="1:6" ht="15.75" customHeight="1">
      <c r="A268" s="72" t="s">
        <v>693</v>
      </c>
      <c r="B268" s="11" t="s">
        <v>694</v>
      </c>
      <c r="C268" s="12"/>
      <c r="D268" s="211">
        <f>D269</f>
        <v>4500</v>
      </c>
      <c r="E268" s="14">
        <f>E269</f>
        <v>4500</v>
      </c>
      <c r="F268" s="312">
        <f>F269</f>
        <v>4275</v>
      </c>
    </row>
    <row r="269" spans="1:6" ht="15.75" customHeight="1">
      <c r="A269" s="79"/>
      <c r="B269" s="20">
        <v>637</v>
      </c>
      <c r="C269" s="17" t="s">
        <v>414</v>
      </c>
      <c r="D269" s="208">
        <f>SUM(D270:D272)</f>
        <v>4500</v>
      </c>
      <c r="E269" s="18">
        <f>SUM(E270:E272)</f>
        <v>4500</v>
      </c>
      <c r="F269" s="253">
        <f>SUM(F270:F272)</f>
        <v>4275</v>
      </c>
    </row>
    <row r="270" spans="1:6" ht="15.75" customHeight="1">
      <c r="A270" s="69"/>
      <c r="B270" s="23">
        <v>637004</v>
      </c>
      <c r="C270" s="24" t="s">
        <v>419</v>
      </c>
      <c r="D270" s="209">
        <v>0</v>
      </c>
      <c r="E270" s="25">
        <v>0</v>
      </c>
      <c r="F270" s="316">
        <v>16</v>
      </c>
    </row>
    <row r="271" spans="1:6" ht="15.75" customHeight="1">
      <c r="A271" s="69"/>
      <c r="B271" s="23">
        <v>637005</v>
      </c>
      <c r="C271" s="24" t="s">
        <v>420</v>
      </c>
      <c r="D271" s="209">
        <v>0</v>
      </c>
      <c r="E271" s="25">
        <v>0</v>
      </c>
      <c r="F271" s="316">
        <v>1626</v>
      </c>
    </row>
    <row r="272" spans="1:6" ht="15.75" customHeight="1">
      <c r="A272" s="69"/>
      <c r="B272" s="23">
        <v>637011</v>
      </c>
      <c r="C272" s="24" t="s">
        <v>465</v>
      </c>
      <c r="D272" s="209">
        <f>3000+1500</f>
        <v>4500</v>
      </c>
      <c r="E272" s="25">
        <f>3000+1500</f>
        <v>4500</v>
      </c>
      <c r="F272" s="316">
        <v>2633</v>
      </c>
    </row>
    <row r="273" spans="1:6" ht="15.75" customHeight="1">
      <c r="A273" s="72" t="s">
        <v>695</v>
      </c>
      <c r="B273" s="11" t="s">
        <v>696</v>
      </c>
      <c r="C273" s="46"/>
      <c r="D273" s="211">
        <f>D274+D276</f>
        <v>97300</v>
      </c>
      <c r="E273" s="14">
        <f>E274+E276</f>
        <v>116248</v>
      </c>
      <c r="F273" s="312">
        <f>F274+F276</f>
        <v>117002</v>
      </c>
    </row>
    <row r="274" spans="1:6" ht="15.75" customHeight="1">
      <c r="A274" s="69"/>
      <c r="B274" s="16">
        <v>637</v>
      </c>
      <c r="C274" s="22" t="s">
        <v>414</v>
      </c>
      <c r="D274" s="208">
        <f>D275</f>
        <v>7500</v>
      </c>
      <c r="E274" s="18">
        <f>E275</f>
        <v>7500</v>
      </c>
      <c r="F274" s="253">
        <f>F275</f>
        <v>10219</v>
      </c>
    </row>
    <row r="275" spans="1:6" ht="15.75" customHeight="1">
      <c r="A275" s="69"/>
      <c r="B275" s="23">
        <v>637004</v>
      </c>
      <c r="C275" s="24" t="str">
        <f>C283</f>
        <v>Všeobecné služby</v>
      </c>
      <c r="D275" s="209">
        <v>7500</v>
      </c>
      <c r="E275" s="25">
        <f>7500</f>
        <v>7500</v>
      </c>
      <c r="F275" s="316">
        <v>10219</v>
      </c>
    </row>
    <row r="276" spans="1:6" ht="15.75" customHeight="1">
      <c r="A276" s="69"/>
      <c r="B276" s="16">
        <v>640</v>
      </c>
      <c r="C276" s="22" t="s">
        <v>435</v>
      </c>
      <c r="D276" s="208">
        <f>SUM(D277:D278)</f>
        <v>89800</v>
      </c>
      <c r="E276" s="208">
        <f>SUM(E277:E278)</f>
        <v>108748</v>
      </c>
      <c r="F276" s="318">
        <f>SUM(F277:F278)</f>
        <v>106783</v>
      </c>
    </row>
    <row r="277" spans="1:6" ht="15.75" customHeight="1">
      <c r="A277" s="69"/>
      <c r="B277" s="23">
        <v>642001</v>
      </c>
      <c r="C277" s="24" t="s">
        <v>467</v>
      </c>
      <c r="D277" s="209">
        <v>7500</v>
      </c>
      <c r="E277" s="25">
        <v>7500</v>
      </c>
      <c r="F277" s="316">
        <v>6697</v>
      </c>
    </row>
    <row r="278" spans="1:6" ht="15.75" customHeight="1">
      <c r="A278" s="69"/>
      <c r="B278" s="23">
        <v>644002</v>
      </c>
      <c r="C278" s="24" t="s">
        <v>466</v>
      </c>
      <c r="D278" s="209">
        <v>82300</v>
      </c>
      <c r="E278" s="25">
        <f>82300+6581+11205+1162</f>
        <v>101248</v>
      </c>
      <c r="F278" s="316">
        <v>100086</v>
      </c>
    </row>
    <row r="279" spans="1:6" ht="15.75" customHeight="1">
      <c r="A279" s="72" t="s">
        <v>697</v>
      </c>
      <c r="B279" s="52" t="s">
        <v>698</v>
      </c>
      <c r="C279" s="12"/>
      <c r="D279" s="211">
        <f>D280</f>
        <v>59600</v>
      </c>
      <c r="E279" s="14">
        <f>E280</f>
        <v>59600</v>
      </c>
      <c r="F279" s="312">
        <f>F280</f>
        <v>66771</v>
      </c>
    </row>
    <row r="280" spans="1:6" ht="15.75" customHeight="1">
      <c r="A280" s="69"/>
      <c r="B280" s="16">
        <v>635</v>
      </c>
      <c r="C280" s="22" t="s">
        <v>670</v>
      </c>
      <c r="D280" s="208">
        <v>59600</v>
      </c>
      <c r="E280" s="18">
        <v>59600</v>
      </c>
      <c r="F280" s="253">
        <f>66605+166</f>
        <v>66771</v>
      </c>
    </row>
    <row r="281" spans="1:6" ht="15.75" customHeight="1">
      <c r="A281" s="72" t="s">
        <v>699</v>
      </c>
      <c r="B281" s="11" t="s">
        <v>700</v>
      </c>
      <c r="C281" s="49"/>
      <c r="D281" s="211">
        <f aca="true" t="shared" si="0" ref="D281:F282">D282</f>
        <v>2000</v>
      </c>
      <c r="E281" s="14">
        <f t="shared" si="0"/>
        <v>2000</v>
      </c>
      <c r="F281" s="312">
        <f t="shared" si="0"/>
        <v>1447</v>
      </c>
    </row>
    <row r="282" spans="1:6" ht="15.75" customHeight="1">
      <c r="A282" s="69"/>
      <c r="B282" s="16">
        <v>637</v>
      </c>
      <c r="C282" s="22" t="s">
        <v>414</v>
      </c>
      <c r="D282" s="208">
        <f t="shared" si="0"/>
        <v>2000</v>
      </c>
      <c r="E282" s="18">
        <f t="shared" si="0"/>
        <v>2000</v>
      </c>
      <c r="F282" s="253">
        <f t="shared" si="0"/>
        <v>1447</v>
      </c>
    </row>
    <row r="283" spans="1:6" ht="15.75" customHeight="1">
      <c r="A283" s="69"/>
      <c r="B283" s="195">
        <v>637004</v>
      </c>
      <c r="C283" s="24" t="s">
        <v>419</v>
      </c>
      <c r="D283" s="209">
        <v>2000</v>
      </c>
      <c r="E283" s="25">
        <v>2000</v>
      </c>
      <c r="F283" s="316">
        <v>1447</v>
      </c>
    </row>
    <row r="284" spans="1:6" ht="15.75" customHeight="1">
      <c r="A284" s="72" t="s">
        <v>701</v>
      </c>
      <c r="B284" s="11" t="s">
        <v>702</v>
      </c>
      <c r="C284" s="12"/>
      <c r="D284" s="211">
        <f>D285+D287+D289</f>
        <v>38869</v>
      </c>
      <c r="E284" s="14">
        <f>E285+E287+E289</f>
        <v>38869</v>
      </c>
      <c r="F284" s="312">
        <f>F285+F287+F289</f>
        <v>41184</v>
      </c>
    </row>
    <row r="285" spans="1:6" ht="15.75" customHeight="1">
      <c r="A285" s="79"/>
      <c r="B285" s="43">
        <v>632</v>
      </c>
      <c r="C285" s="17" t="s">
        <v>396</v>
      </c>
      <c r="D285" s="208">
        <f>SUM(D286)</f>
        <v>200</v>
      </c>
      <c r="E285" s="18">
        <f>SUM(E286)</f>
        <v>200</v>
      </c>
      <c r="F285" s="253">
        <f>SUM(F286)</f>
        <v>81</v>
      </c>
    </row>
    <row r="286" spans="1:6" ht="15.75" customHeight="1">
      <c r="A286" s="69"/>
      <c r="B286" s="23">
        <v>632002</v>
      </c>
      <c r="C286" s="24" t="s">
        <v>468</v>
      </c>
      <c r="D286" s="209">
        <v>200</v>
      </c>
      <c r="E286" s="25">
        <v>200</v>
      </c>
      <c r="F286" s="316">
        <v>81</v>
      </c>
    </row>
    <row r="287" spans="1:6" ht="15.75" customHeight="1">
      <c r="A287" s="69"/>
      <c r="B287" s="16">
        <v>635</v>
      </c>
      <c r="C287" s="22" t="s">
        <v>670</v>
      </c>
      <c r="D287" s="208">
        <f>SUM(D288:D288)</f>
        <v>23400</v>
      </c>
      <c r="E287" s="18">
        <f>SUM(E288:E288)</f>
        <v>23400</v>
      </c>
      <c r="F287" s="253">
        <f>SUM(F288:F288)</f>
        <v>23659</v>
      </c>
    </row>
    <row r="288" spans="1:6" ht="15.75" customHeight="1">
      <c r="A288" s="69"/>
      <c r="B288" s="23">
        <v>635006</v>
      </c>
      <c r="C288" s="24" t="s">
        <v>469</v>
      </c>
      <c r="D288" s="209">
        <v>23400</v>
      </c>
      <c r="E288" s="25">
        <v>23400</v>
      </c>
      <c r="F288" s="316">
        <f>23654+5</f>
        <v>23659</v>
      </c>
    </row>
    <row r="289" spans="1:6" ht="15.75" customHeight="1">
      <c r="A289" s="69"/>
      <c r="B289" s="16">
        <v>637</v>
      </c>
      <c r="C289" s="22" t="s">
        <v>414</v>
      </c>
      <c r="D289" s="208">
        <f>SUM(D290:D290)</f>
        <v>15269</v>
      </c>
      <c r="E289" s="18">
        <f>SUM(E290:E290)</f>
        <v>15269</v>
      </c>
      <c r="F289" s="253">
        <f>SUM(F290:F290)</f>
        <v>17444</v>
      </c>
    </row>
    <row r="290" spans="1:6" ht="15.75" customHeight="1">
      <c r="A290" s="69"/>
      <c r="B290" s="23">
        <v>637004</v>
      </c>
      <c r="C290" s="27" t="s">
        <v>470</v>
      </c>
      <c r="D290" s="209">
        <v>15269</v>
      </c>
      <c r="E290" s="25">
        <v>15269</v>
      </c>
      <c r="F290" s="316">
        <v>17444</v>
      </c>
    </row>
    <row r="291" spans="1:6" ht="15.75" customHeight="1">
      <c r="A291" s="72" t="s">
        <v>516</v>
      </c>
      <c r="B291" s="1377" t="s">
        <v>517</v>
      </c>
      <c r="C291" s="1378"/>
      <c r="D291" s="1026">
        <f>SUM(D292)</f>
        <v>0</v>
      </c>
      <c r="E291" s="1026">
        <f>SUM(E292)</f>
        <v>0</v>
      </c>
      <c r="F291" s="1026">
        <f>SUM(F292)</f>
        <v>15</v>
      </c>
    </row>
    <row r="292" spans="1:6" ht="15.75" customHeight="1">
      <c r="A292" s="79"/>
      <c r="B292" s="192">
        <v>642001</v>
      </c>
      <c r="C292" s="190" t="s">
        <v>480</v>
      </c>
      <c r="D292" s="218">
        <v>0</v>
      </c>
      <c r="E292" s="191">
        <v>0</v>
      </c>
      <c r="F292" s="193">
        <v>15</v>
      </c>
    </row>
    <row r="293" spans="1:6" ht="15.75" customHeight="1">
      <c r="A293" s="72" t="s">
        <v>763</v>
      </c>
      <c r="B293" s="11" t="s">
        <v>519</v>
      </c>
      <c r="C293" s="12"/>
      <c r="D293" s="211">
        <f aca="true" t="shared" si="1" ref="D293:F294">SUM(D294)</f>
        <v>39851</v>
      </c>
      <c r="E293" s="211">
        <f t="shared" si="1"/>
        <v>39851</v>
      </c>
      <c r="F293" s="211">
        <f t="shared" si="1"/>
        <v>32507</v>
      </c>
    </row>
    <row r="294" spans="1:6" ht="15.75" customHeight="1">
      <c r="A294" s="69"/>
      <c r="B294" s="16">
        <v>635</v>
      </c>
      <c r="C294" s="22" t="s">
        <v>670</v>
      </c>
      <c r="D294" s="208">
        <f t="shared" si="1"/>
        <v>39851</v>
      </c>
      <c r="E294" s="18">
        <f t="shared" si="1"/>
        <v>39851</v>
      </c>
      <c r="F294" s="253">
        <f t="shared" si="1"/>
        <v>32507</v>
      </c>
    </row>
    <row r="295" spans="1:6" ht="15.75" customHeight="1">
      <c r="A295" s="69"/>
      <c r="B295" s="23">
        <v>635006</v>
      </c>
      <c r="C295" s="24" t="s">
        <v>471</v>
      </c>
      <c r="D295" s="209">
        <v>39851</v>
      </c>
      <c r="E295" s="25">
        <v>39851</v>
      </c>
      <c r="F295" s="316">
        <v>32507</v>
      </c>
    </row>
    <row r="296" spans="1:6" ht="15.75" customHeight="1">
      <c r="A296" s="72" t="s">
        <v>703</v>
      </c>
      <c r="B296" s="11" t="s">
        <v>704</v>
      </c>
      <c r="C296" s="46"/>
      <c r="D296" s="211">
        <f aca="true" t="shared" si="2" ref="D296:F297">SUM(D297)</f>
        <v>6500</v>
      </c>
      <c r="E296" s="14">
        <f t="shared" si="2"/>
        <v>6500</v>
      </c>
      <c r="F296" s="312">
        <f t="shared" si="2"/>
        <v>5096</v>
      </c>
    </row>
    <row r="297" spans="1:6" ht="15.75" customHeight="1">
      <c r="A297" s="69"/>
      <c r="B297" s="16">
        <v>635</v>
      </c>
      <c r="C297" s="22" t="s">
        <v>670</v>
      </c>
      <c r="D297" s="208">
        <f t="shared" si="2"/>
        <v>6500</v>
      </c>
      <c r="E297" s="18">
        <f t="shared" si="2"/>
        <v>6500</v>
      </c>
      <c r="F297" s="253">
        <f t="shared" si="2"/>
        <v>5096</v>
      </c>
    </row>
    <row r="298" spans="1:6" ht="15.75" customHeight="1">
      <c r="A298" s="69"/>
      <c r="B298" s="23">
        <v>635006</v>
      </c>
      <c r="C298" s="24" t="s">
        <v>472</v>
      </c>
      <c r="D298" s="209">
        <v>6500</v>
      </c>
      <c r="E298" s="25">
        <v>6500</v>
      </c>
      <c r="F298" s="316">
        <v>5096</v>
      </c>
    </row>
    <row r="299" spans="1:6" ht="15.75" customHeight="1">
      <c r="A299" s="72" t="s">
        <v>705</v>
      </c>
      <c r="B299" s="11" t="s">
        <v>523</v>
      </c>
      <c r="C299" s="46"/>
      <c r="D299" s="211">
        <f>D300+D301+D303+D304</f>
        <v>5980</v>
      </c>
      <c r="E299" s="14">
        <f>E300+E301+E303+E304</f>
        <v>5980</v>
      </c>
      <c r="F299" s="312">
        <f>F300+F301+F303+F304</f>
        <v>5996</v>
      </c>
    </row>
    <row r="300" spans="1:6" ht="15.75" customHeight="1">
      <c r="A300" s="79"/>
      <c r="B300" s="16">
        <v>632</v>
      </c>
      <c r="C300" s="17" t="s">
        <v>396</v>
      </c>
      <c r="D300" s="208">
        <v>4800</v>
      </c>
      <c r="E300" s="18">
        <v>4800</v>
      </c>
      <c r="F300" s="253">
        <v>5706</v>
      </c>
    </row>
    <row r="301" spans="1:6" ht="15.75" customHeight="1">
      <c r="A301" s="79"/>
      <c r="B301" s="16">
        <v>633</v>
      </c>
      <c r="C301" s="22" t="s">
        <v>397</v>
      </c>
      <c r="D301" s="208">
        <f>SUM(D302)</f>
        <v>100</v>
      </c>
      <c r="E301" s="18">
        <f>SUM(E302)</f>
        <v>100</v>
      </c>
      <c r="F301" s="253">
        <f>SUM(F302)</f>
        <v>9</v>
      </c>
    </row>
    <row r="302" spans="1:6" ht="15.75" customHeight="1">
      <c r="A302" s="69"/>
      <c r="B302" s="23">
        <v>633006</v>
      </c>
      <c r="C302" s="24" t="s">
        <v>404</v>
      </c>
      <c r="D302" s="209">
        <v>100</v>
      </c>
      <c r="E302" s="25">
        <v>100</v>
      </c>
      <c r="F302" s="316">
        <v>9</v>
      </c>
    </row>
    <row r="303" spans="1:6" ht="15.75" customHeight="1">
      <c r="A303" s="79"/>
      <c r="B303" s="16">
        <v>635</v>
      </c>
      <c r="C303" s="22" t="s">
        <v>670</v>
      </c>
      <c r="D303" s="208">
        <v>1000</v>
      </c>
      <c r="E303" s="18">
        <v>1000</v>
      </c>
      <c r="F303" s="253">
        <v>224</v>
      </c>
    </row>
    <row r="304" spans="1:6" ht="15.75" customHeight="1">
      <c r="A304" s="69"/>
      <c r="B304" s="16">
        <v>637</v>
      </c>
      <c r="C304" s="22" t="s">
        <v>414</v>
      </c>
      <c r="D304" s="208">
        <f>SUM(D305)</f>
        <v>80</v>
      </c>
      <c r="E304" s="18">
        <f>SUM(E305)</f>
        <v>80</v>
      </c>
      <c r="F304" s="253">
        <f>SUM(F305)</f>
        <v>57</v>
      </c>
    </row>
    <row r="305" spans="1:6" ht="15.75" customHeight="1">
      <c r="A305" s="79"/>
      <c r="B305" s="23">
        <v>637027</v>
      </c>
      <c r="C305" s="24" t="s">
        <v>432</v>
      </c>
      <c r="D305" s="209">
        <v>80</v>
      </c>
      <c r="E305" s="25">
        <v>80</v>
      </c>
      <c r="F305" s="316">
        <v>57</v>
      </c>
    </row>
    <row r="306" spans="1:6" ht="15.75" customHeight="1">
      <c r="A306" s="72" t="s">
        <v>706</v>
      </c>
      <c r="B306" s="11" t="s">
        <v>525</v>
      </c>
      <c r="C306" s="46"/>
      <c r="D306" s="211">
        <f>SUM(D307+D310+D311)</f>
        <v>27800</v>
      </c>
      <c r="E306" s="14">
        <f>SUM(E307+E310+E311)</f>
        <v>27800</v>
      </c>
      <c r="F306" s="312">
        <f>SUM(F307+F310+F311)</f>
        <v>39835</v>
      </c>
    </row>
    <row r="307" spans="1:6" ht="15.75" customHeight="1">
      <c r="A307" s="79"/>
      <c r="B307" s="16">
        <v>632</v>
      </c>
      <c r="C307" s="17" t="s">
        <v>396</v>
      </c>
      <c r="D307" s="208">
        <f>SUM(D308:D309)</f>
        <v>17000</v>
      </c>
      <c r="E307" s="18">
        <f>SUM(E308:E309)</f>
        <v>17000</v>
      </c>
      <c r="F307" s="253">
        <f>SUM(F308:F309)</f>
        <v>22307</v>
      </c>
    </row>
    <row r="308" spans="1:6" ht="15.75" customHeight="1">
      <c r="A308" s="69"/>
      <c r="B308" s="26" t="s">
        <v>473</v>
      </c>
      <c r="C308" s="24" t="s">
        <v>448</v>
      </c>
      <c r="D308" s="209">
        <v>17000</v>
      </c>
      <c r="E308" s="25">
        <v>17000</v>
      </c>
      <c r="F308" s="316">
        <v>22050</v>
      </c>
    </row>
    <row r="309" spans="1:6" ht="15.75" customHeight="1">
      <c r="A309" s="69"/>
      <c r="B309" s="23">
        <v>632002</v>
      </c>
      <c r="C309" s="24" t="s">
        <v>468</v>
      </c>
      <c r="D309" s="209">
        <v>0</v>
      </c>
      <c r="E309" s="25">
        <v>0</v>
      </c>
      <c r="F309" s="316">
        <v>257</v>
      </c>
    </row>
    <row r="310" spans="1:6" ht="15.75" customHeight="1">
      <c r="A310" s="69"/>
      <c r="B310" s="20">
        <v>634</v>
      </c>
      <c r="C310" s="17" t="s">
        <v>410</v>
      </c>
      <c r="D310" s="208">
        <v>0</v>
      </c>
      <c r="E310" s="18">
        <v>0</v>
      </c>
      <c r="F310" s="253">
        <v>236</v>
      </c>
    </row>
    <row r="311" spans="1:6" ht="15.75" customHeight="1">
      <c r="A311" s="69"/>
      <c r="B311" s="16">
        <v>635</v>
      </c>
      <c r="C311" s="22" t="s">
        <v>670</v>
      </c>
      <c r="D311" s="208">
        <f>SUM(D312)</f>
        <v>10800</v>
      </c>
      <c r="E311" s="18">
        <f>SUM(E312)</f>
        <v>10800</v>
      </c>
      <c r="F311" s="253">
        <f>SUM(F312)</f>
        <v>17292</v>
      </c>
    </row>
    <row r="312" spans="1:6" ht="15.75" customHeight="1">
      <c r="A312" s="69"/>
      <c r="B312" s="195">
        <v>635006</v>
      </c>
      <c r="C312" s="24" t="s">
        <v>474</v>
      </c>
      <c r="D312" s="209">
        <v>10800</v>
      </c>
      <c r="E312" s="25">
        <v>10800</v>
      </c>
      <c r="F312" s="316">
        <v>17292</v>
      </c>
    </row>
    <row r="313" spans="1:6" ht="15.75" customHeight="1">
      <c r="A313" s="72" t="s">
        <v>707</v>
      </c>
      <c r="B313" s="11" t="s">
        <v>708</v>
      </c>
      <c r="C313" s="12"/>
      <c r="D313" s="214">
        <f>D314+D315+D316</f>
        <v>367087</v>
      </c>
      <c r="E313" s="39">
        <f>E314+E315+E316</f>
        <v>367087</v>
      </c>
      <c r="F313" s="313">
        <f>F314+F315+F316</f>
        <v>420589</v>
      </c>
    </row>
    <row r="314" spans="1:6" ht="15.75" customHeight="1">
      <c r="A314" s="79"/>
      <c r="B314" s="43">
        <v>632</v>
      </c>
      <c r="C314" s="17" t="s">
        <v>396</v>
      </c>
      <c r="D314" s="208">
        <v>276745</v>
      </c>
      <c r="E314" s="18">
        <v>276745</v>
      </c>
      <c r="F314" s="253">
        <f>6840+237324+63270+2</f>
        <v>307436</v>
      </c>
    </row>
    <row r="315" spans="1:6" ht="15.75" customHeight="1">
      <c r="A315" s="69"/>
      <c r="B315" s="16">
        <v>635</v>
      </c>
      <c r="C315" s="22" t="s">
        <v>670</v>
      </c>
      <c r="D315" s="208">
        <v>56152</v>
      </c>
      <c r="E315" s="18">
        <v>56152</v>
      </c>
      <c r="F315" s="253">
        <f>3+1005+4964+73152+471</f>
        <v>79595</v>
      </c>
    </row>
    <row r="316" spans="1:6" ht="15.75" customHeight="1">
      <c r="A316" s="69"/>
      <c r="B316" s="16">
        <v>637</v>
      </c>
      <c r="C316" s="22" t="s">
        <v>414</v>
      </c>
      <c r="D316" s="208">
        <f>SUM(D317:D321)</f>
        <v>34190</v>
      </c>
      <c r="E316" s="18">
        <f>SUM(E317:E321)</f>
        <v>34190</v>
      </c>
      <c r="F316" s="253">
        <f>SUM(F317:F321)</f>
        <v>33558</v>
      </c>
    </row>
    <row r="317" spans="1:6" ht="15.75" customHeight="1">
      <c r="A317" s="69"/>
      <c r="B317" s="23">
        <v>637004</v>
      </c>
      <c r="C317" s="24" t="s">
        <v>419</v>
      </c>
      <c r="D317" s="209">
        <v>29050</v>
      </c>
      <c r="E317" s="25">
        <v>29050</v>
      </c>
      <c r="F317" s="316">
        <f>11673+588+268+46+15184+801</f>
        <v>28560</v>
      </c>
    </row>
    <row r="318" spans="1:6" ht="15.75" customHeight="1">
      <c r="A318" s="69"/>
      <c r="B318" s="23">
        <v>637005</v>
      </c>
      <c r="C318" s="24" t="s">
        <v>420</v>
      </c>
      <c r="D318" s="209">
        <v>4000</v>
      </c>
      <c r="E318" s="25">
        <v>4000</v>
      </c>
      <c r="F318" s="316">
        <f>525+3243</f>
        <v>3768</v>
      </c>
    </row>
    <row r="319" spans="1:6" ht="15.75" customHeight="1">
      <c r="A319" s="69"/>
      <c r="B319" s="23">
        <v>637011</v>
      </c>
      <c r="C319" s="24" t="s">
        <v>475</v>
      </c>
      <c r="D319" s="219">
        <v>0</v>
      </c>
      <c r="E319" s="322">
        <v>0</v>
      </c>
      <c r="F319" s="50">
        <v>32</v>
      </c>
    </row>
    <row r="320" spans="1:6" ht="15.75" customHeight="1">
      <c r="A320" s="69"/>
      <c r="B320" s="23">
        <v>637012</v>
      </c>
      <c r="C320" s="24" t="s">
        <v>445</v>
      </c>
      <c r="D320" s="209">
        <v>940</v>
      </c>
      <c r="E320" s="25">
        <v>940</v>
      </c>
      <c r="F320" s="316">
        <f>398+488+132</f>
        <v>1018</v>
      </c>
    </row>
    <row r="321" spans="1:6" ht="15.75" customHeight="1">
      <c r="A321" s="194"/>
      <c r="B321" s="195">
        <v>637015</v>
      </c>
      <c r="C321" s="196" t="s">
        <v>426</v>
      </c>
      <c r="D321" s="223">
        <v>200</v>
      </c>
      <c r="E321" s="67">
        <v>200</v>
      </c>
      <c r="F321" s="321">
        <v>180</v>
      </c>
    </row>
    <row r="322" spans="1:6" s="182" customFormat="1" ht="15.75" customHeight="1">
      <c r="A322" s="72" t="s">
        <v>709</v>
      </c>
      <c r="B322" s="52" t="s">
        <v>710</v>
      </c>
      <c r="C322" s="12"/>
      <c r="D322" s="211">
        <v>0</v>
      </c>
      <c r="E322" s="14">
        <v>0</v>
      </c>
      <c r="F322" s="312">
        <v>28</v>
      </c>
    </row>
    <row r="323" spans="1:6" ht="15.75" customHeight="1">
      <c r="A323" s="72" t="s">
        <v>711</v>
      </c>
      <c r="B323" s="11" t="s">
        <v>527</v>
      </c>
      <c r="C323" s="12"/>
      <c r="D323" s="211">
        <f>D324+D325+D327+D328+D333+D334+D335+D340</f>
        <v>28974</v>
      </c>
      <c r="E323" s="14">
        <f>E324+E325+E327+E328+E333+E334+E335+E340</f>
        <v>41524</v>
      </c>
      <c r="F323" s="312">
        <f>F324+F325+F327+F328+F333+F334+F335+F340</f>
        <v>39205</v>
      </c>
    </row>
    <row r="324" spans="1:6" ht="15.75" customHeight="1">
      <c r="A324" s="79" t="s">
        <v>476</v>
      </c>
      <c r="B324" s="16">
        <v>610</v>
      </c>
      <c r="C324" s="17" t="s">
        <v>391</v>
      </c>
      <c r="D324" s="208">
        <v>93</v>
      </c>
      <c r="E324" s="18">
        <v>93</v>
      </c>
      <c r="F324" s="253">
        <v>84</v>
      </c>
    </row>
    <row r="325" spans="1:8" ht="15.75" customHeight="1" thickBot="1">
      <c r="A325" s="76"/>
      <c r="B325" s="40">
        <v>620</v>
      </c>
      <c r="C325" s="41" t="s">
        <v>392</v>
      </c>
      <c r="D325" s="215">
        <v>33</v>
      </c>
      <c r="E325" s="252">
        <v>33</v>
      </c>
      <c r="F325" s="272">
        <v>29</v>
      </c>
      <c r="G325" s="33"/>
      <c r="H325" s="29"/>
    </row>
    <row r="326" spans="1:8" ht="15.75" customHeight="1" thickBot="1">
      <c r="A326" s="600"/>
      <c r="B326" s="264"/>
      <c r="C326" s="32"/>
      <c r="D326" s="212"/>
      <c r="E326" s="33"/>
      <c r="F326" s="8" t="s">
        <v>755</v>
      </c>
      <c r="G326" s="33"/>
      <c r="H326" s="29"/>
    </row>
    <row r="327" spans="1:6" ht="15.75" customHeight="1">
      <c r="A327" s="265"/>
      <c r="B327" s="248">
        <v>632</v>
      </c>
      <c r="C327" s="266" t="s">
        <v>396</v>
      </c>
      <c r="D327" s="267">
        <v>150</v>
      </c>
      <c r="E327" s="268">
        <v>80</v>
      </c>
      <c r="F327" s="268">
        <f>45+5</f>
        <v>50</v>
      </c>
    </row>
    <row r="328" spans="1:7" ht="15.75" customHeight="1">
      <c r="A328" s="69"/>
      <c r="B328" s="16">
        <v>633</v>
      </c>
      <c r="C328" s="22" t="s">
        <v>397</v>
      </c>
      <c r="D328" s="208">
        <f>SUM(D329:D332)</f>
        <v>100</v>
      </c>
      <c r="E328" s="18">
        <f>SUM(E329:E332)</f>
        <v>24</v>
      </c>
      <c r="F328" s="18">
        <f>SUM(F329:F332)</f>
        <v>3</v>
      </c>
      <c r="G328" s="51"/>
    </row>
    <row r="329" spans="1:6" ht="15.75" customHeight="1">
      <c r="A329" s="69"/>
      <c r="B329" s="23">
        <v>633001</v>
      </c>
      <c r="C329" s="24" t="s">
        <v>398</v>
      </c>
      <c r="D329" s="209">
        <v>45</v>
      </c>
      <c r="E329" s="25">
        <v>7</v>
      </c>
      <c r="F329" s="25">
        <v>0</v>
      </c>
    </row>
    <row r="330" spans="1:6" ht="15.75" customHeight="1">
      <c r="A330" s="69"/>
      <c r="B330" s="23">
        <v>633004</v>
      </c>
      <c r="C330" s="24" t="s">
        <v>402</v>
      </c>
      <c r="D330" s="209">
        <v>20</v>
      </c>
      <c r="E330" s="25">
        <v>7</v>
      </c>
      <c r="F330" s="25">
        <v>3</v>
      </c>
    </row>
    <row r="331" spans="1:6" ht="15.75" customHeight="1">
      <c r="A331" s="69"/>
      <c r="B331" s="23">
        <v>633006</v>
      </c>
      <c r="C331" s="24" t="s">
        <v>404</v>
      </c>
      <c r="D331" s="209">
        <v>33</v>
      </c>
      <c r="E331" s="25">
        <v>8</v>
      </c>
      <c r="F331" s="25">
        <v>0</v>
      </c>
    </row>
    <row r="332" spans="1:6" ht="15.75" customHeight="1">
      <c r="A332" s="69"/>
      <c r="B332" s="23">
        <v>633010</v>
      </c>
      <c r="C332" s="24" t="s">
        <v>406</v>
      </c>
      <c r="D332" s="209">
        <v>2</v>
      </c>
      <c r="E332" s="25">
        <v>2</v>
      </c>
      <c r="F332" s="25">
        <v>0</v>
      </c>
    </row>
    <row r="333" spans="1:6" ht="15.75" customHeight="1">
      <c r="A333" s="79"/>
      <c r="B333" s="20">
        <v>634</v>
      </c>
      <c r="C333" s="17" t="s">
        <v>410</v>
      </c>
      <c r="D333" s="208">
        <v>3</v>
      </c>
      <c r="E333" s="18">
        <v>3</v>
      </c>
      <c r="F333" s="18">
        <v>0</v>
      </c>
    </row>
    <row r="334" spans="1:6" ht="15.75" customHeight="1">
      <c r="A334" s="69"/>
      <c r="B334" s="16">
        <v>635</v>
      </c>
      <c r="C334" s="22" t="s">
        <v>670</v>
      </c>
      <c r="D334" s="208">
        <v>100</v>
      </c>
      <c r="E334" s="18">
        <v>10</v>
      </c>
      <c r="F334" s="18">
        <v>0</v>
      </c>
    </row>
    <row r="335" spans="1:6" ht="15.75" customHeight="1">
      <c r="A335" s="69"/>
      <c r="B335" s="16">
        <v>637</v>
      </c>
      <c r="C335" s="22" t="s">
        <v>414</v>
      </c>
      <c r="D335" s="208">
        <f>SUM(D336:D339)</f>
        <v>30</v>
      </c>
      <c r="E335" s="18">
        <f>SUM(E336:E339)</f>
        <v>18</v>
      </c>
      <c r="F335" s="18">
        <f>SUM(F336:F339)</f>
        <v>6</v>
      </c>
    </row>
    <row r="336" spans="1:6" ht="15.75" customHeight="1">
      <c r="A336" s="69"/>
      <c r="B336" s="23">
        <v>637004</v>
      </c>
      <c r="C336" s="24" t="s">
        <v>419</v>
      </c>
      <c r="D336" s="209">
        <v>18</v>
      </c>
      <c r="E336" s="25">
        <v>6</v>
      </c>
      <c r="F336" s="25">
        <v>0</v>
      </c>
    </row>
    <row r="337" spans="1:6" ht="15.75" customHeight="1">
      <c r="A337" s="69"/>
      <c r="B337" s="23">
        <v>637005</v>
      </c>
      <c r="C337" s="24" t="s">
        <v>420</v>
      </c>
      <c r="D337" s="209">
        <v>3</v>
      </c>
      <c r="E337" s="25">
        <v>3</v>
      </c>
      <c r="F337" s="25">
        <v>0</v>
      </c>
    </row>
    <row r="338" spans="1:6" ht="15.75" customHeight="1">
      <c r="A338" s="69"/>
      <c r="B338" s="23">
        <v>637012</v>
      </c>
      <c r="C338" s="24" t="s">
        <v>445</v>
      </c>
      <c r="D338" s="209">
        <v>8</v>
      </c>
      <c r="E338" s="25">
        <v>8</v>
      </c>
      <c r="F338" s="25">
        <v>5</v>
      </c>
    </row>
    <row r="339" spans="1:7" ht="15.75" customHeight="1">
      <c r="A339" s="69"/>
      <c r="B339" s="23">
        <v>637016</v>
      </c>
      <c r="C339" s="24" t="s">
        <v>477</v>
      </c>
      <c r="D339" s="209">
        <v>1</v>
      </c>
      <c r="E339" s="25">
        <v>1</v>
      </c>
      <c r="F339" s="25">
        <v>1</v>
      </c>
      <c r="G339" s="51"/>
    </row>
    <row r="340" spans="1:6" ht="15.75" customHeight="1">
      <c r="A340" s="79"/>
      <c r="B340" s="16">
        <v>640</v>
      </c>
      <c r="C340" s="17" t="s">
        <v>478</v>
      </c>
      <c r="D340" s="208">
        <f>SUM(D341:D345)</f>
        <v>28465</v>
      </c>
      <c r="E340" s="208">
        <f>SUM(E341:E345)</f>
        <v>41263</v>
      </c>
      <c r="F340" s="208">
        <f>SUM(F341:F345)</f>
        <v>39033</v>
      </c>
    </row>
    <row r="341" spans="1:6" ht="15.75" customHeight="1">
      <c r="A341" s="79"/>
      <c r="B341" s="23">
        <v>641001</v>
      </c>
      <c r="C341" s="24" t="s">
        <v>479</v>
      </c>
      <c r="D341" s="209">
        <v>15397</v>
      </c>
      <c r="E341" s="25">
        <v>15397</v>
      </c>
      <c r="F341" s="25">
        <f>12969+3000-1669</f>
        <v>14300</v>
      </c>
    </row>
    <row r="342" spans="1:6" ht="15.75" customHeight="1">
      <c r="A342" s="79"/>
      <c r="B342" s="23">
        <v>642001</v>
      </c>
      <c r="C342" s="24" t="s">
        <v>480</v>
      </c>
      <c r="D342" s="209">
        <v>2500</v>
      </c>
      <c r="E342" s="25">
        <v>2500</v>
      </c>
      <c r="F342" s="25">
        <f>10+673+504</f>
        <v>1187</v>
      </c>
    </row>
    <row r="343" spans="1:7" ht="15.75" customHeight="1">
      <c r="A343" s="69"/>
      <c r="B343" s="23">
        <v>642015</v>
      </c>
      <c r="C343" s="24" t="s">
        <v>440</v>
      </c>
      <c r="D343" s="209">
        <v>4</v>
      </c>
      <c r="E343" s="25">
        <v>2</v>
      </c>
      <c r="F343" s="25">
        <v>0</v>
      </c>
      <c r="G343" s="51"/>
    </row>
    <row r="344" spans="1:6" ht="15.75" customHeight="1">
      <c r="A344" s="69"/>
      <c r="B344" s="23">
        <v>644002</v>
      </c>
      <c r="C344" s="24" t="s">
        <v>481</v>
      </c>
      <c r="D344" s="209">
        <v>10564</v>
      </c>
      <c r="E344" s="25">
        <f>10564+8000+4800</f>
        <v>23364</v>
      </c>
      <c r="F344" s="25">
        <f>20204+2891+269</f>
        <v>23364</v>
      </c>
    </row>
    <row r="345" spans="1:6" ht="15.75" customHeight="1">
      <c r="A345" s="69"/>
      <c r="B345" s="23">
        <v>645</v>
      </c>
      <c r="C345" s="24" t="s">
        <v>665</v>
      </c>
      <c r="D345" s="209">
        <v>0</v>
      </c>
      <c r="E345" s="25">
        <v>0</v>
      </c>
      <c r="F345" s="25">
        <v>182</v>
      </c>
    </row>
    <row r="346" spans="1:6" ht="15.75" customHeight="1">
      <c r="A346" s="72" t="s">
        <v>712</v>
      </c>
      <c r="B346" s="52" t="s">
        <v>530</v>
      </c>
      <c r="C346" s="12"/>
      <c r="D346" s="211">
        <f aca="true" t="shared" si="3" ref="D346:F347">SUM(D347)</f>
        <v>4400</v>
      </c>
      <c r="E346" s="14">
        <f t="shared" si="3"/>
        <v>4400</v>
      </c>
      <c r="F346" s="14">
        <f t="shared" si="3"/>
        <v>3988</v>
      </c>
    </row>
    <row r="347" spans="1:6" ht="15.75" customHeight="1">
      <c r="A347" s="79"/>
      <c r="B347" s="16">
        <v>640</v>
      </c>
      <c r="C347" s="17" t="s">
        <v>478</v>
      </c>
      <c r="D347" s="208">
        <f t="shared" si="3"/>
        <v>4400</v>
      </c>
      <c r="E347" s="18">
        <f t="shared" si="3"/>
        <v>4400</v>
      </c>
      <c r="F347" s="18">
        <f t="shared" si="3"/>
        <v>3988</v>
      </c>
    </row>
    <row r="348" spans="1:6" ht="15.75" customHeight="1">
      <c r="A348" s="69"/>
      <c r="B348" s="23">
        <v>642001</v>
      </c>
      <c r="C348" s="24" t="s">
        <v>480</v>
      </c>
      <c r="D348" s="209">
        <v>4400</v>
      </c>
      <c r="E348" s="25">
        <v>4400</v>
      </c>
      <c r="F348" s="25">
        <v>3988</v>
      </c>
    </row>
    <row r="349" spans="1:6" ht="15.75" customHeight="1">
      <c r="A349" s="72" t="s">
        <v>764</v>
      </c>
      <c r="B349" s="52" t="s">
        <v>531</v>
      </c>
      <c r="C349" s="12"/>
      <c r="D349" s="211">
        <f aca="true" t="shared" si="4" ref="D349:F350">SUM(D350)</f>
        <v>15524</v>
      </c>
      <c r="E349" s="14">
        <f t="shared" si="4"/>
        <v>15524</v>
      </c>
      <c r="F349" s="14">
        <f t="shared" si="4"/>
        <v>17665</v>
      </c>
    </row>
    <row r="350" spans="1:6" ht="15.75" customHeight="1">
      <c r="A350" s="79"/>
      <c r="B350" s="16">
        <v>640</v>
      </c>
      <c r="C350" s="17" t="s">
        <v>478</v>
      </c>
      <c r="D350" s="208">
        <f t="shared" si="4"/>
        <v>15524</v>
      </c>
      <c r="E350" s="18">
        <f t="shared" si="4"/>
        <v>15524</v>
      </c>
      <c r="F350" s="18">
        <f t="shared" si="4"/>
        <v>17665</v>
      </c>
    </row>
    <row r="351" spans="1:6" ht="15.75" customHeight="1">
      <c r="A351" s="69"/>
      <c r="B351" s="23">
        <v>641001</v>
      </c>
      <c r="C351" s="24" t="s">
        <v>482</v>
      </c>
      <c r="D351" s="209">
        <v>15524</v>
      </c>
      <c r="E351" s="25">
        <v>15524</v>
      </c>
      <c r="F351" s="25">
        <v>17665</v>
      </c>
    </row>
    <row r="352" spans="1:6" ht="15.75" customHeight="1">
      <c r="A352" s="72" t="s">
        <v>765</v>
      </c>
      <c r="B352" s="11" t="s">
        <v>713</v>
      </c>
      <c r="C352" s="12"/>
      <c r="D352" s="211">
        <f>SUM(D353+D354+D358+D359+D360)</f>
        <v>560</v>
      </c>
      <c r="E352" s="14">
        <f>SUM(E353+E354+E358+E359+E360)</f>
        <v>685</v>
      </c>
      <c r="F352" s="14">
        <f>SUM(F353+F354+F358+F359+F360)</f>
        <v>803</v>
      </c>
    </row>
    <row r="353" spans="1:6" ht="15.75" customHeight="1">
      <c r="A353" s="79"/>
      <c r="B353" s="16">
        <v>632</v>
      </c>
      <c r="C353" s="17" t="s">
        <v>396</v>
      </c>
      <c r="D353" s="208">
        <v>380</v>
      </c>
      <c r="E353" s="18">
        <f>D353+125</f>
        <v>505</v>
      </c>
      <c r="F353" s="18">
        <v>544</v>
      </c>
    </row>
    <row r="354" spans="1:6" ht="15.75" customHeight="1">
      <c r="A354" s="79"/>
      <c r="B354" s="16">
        <v>633</v>
      </c>
      <c r="C354" s="22" t="s">
        <v>397</v>
      </c>
      <c r="D354" s="208">
        <f>SUM(D355:D357)</f>
        <v>10</v>
      </c>
      <c r="E354" s="18">
        <f>SUM(E355:E357)</f>
        <v>10</v>
      </c>
      <c r="F354" s="18">
        <f>SUM(F355:F357)</f>
        <v>46</v>
      </c>
    </row>
    <row r="355" spans="1:6" ht="15.75" customHeight="1">
      <c r="A355" s="79"/>
      <c r="B355" s="23">
        <v>633001</v>
      </c>
      <c r="C355" s="24" t="s">
        <v>398</v>
      </c>
      <c r="D355" s="209">
        <v>0</v>
      </c>
      <c r="E355" s="25">
        <v>0</v>
      </c>
      <c r="F355" s="25">
        <v>38</v>
      </c>
    </row>
    <row r="356" spans="1:6" ht="15.75" customHeight="1">
      <c r="A356" s="79"/>
      <c r="B356" s="23">
        <v>633004</v>
      </c>
      <c r="C356" s="24" t="s">
        <v>402</v>
      </c>
      <c r="D356" s="209">
        <v>0</v>
      </c>
      <c r="E356" s="25">
        <v>0</v>
      </c>
      <c r="F356" s="25">
        <v>7</v>
      </c>
    </row>
    <row r="357" spans="1:6" ht="15.75" customHeight="1">
      <c r="A357" s="69"/>
      <c r="B357" s="23">
        <v>633006</v>
      </c>
      <c r="C357" s="24" t="s">
        <v>404</v>
      </c>
      <c r="D357" s="209">
        <v>10</v>
      </c>
      <c r="E357" s="25">
        <v>10</v>
      </c>
      <c r="F357" s="25">
        <v>1</v>
      </c>
    </row>
    <row r="358" spans="1:6" ht="15.75" customHeight="1">
      <c r="A358" s="69"/>
      <c r="B358" s="16">
        <v>634</v>
      </c>
      <c r="C358" s="17" t="s">
        <v>410</v>
      </c>
      <c r="D358" s="208">
        <v>0</v>
      </c>
      <c r="E358" s="18">
        <v>0</v>
      </c>
      <c r="F358" s="18">
        <v>2</v>
      </c>
    </row>
    <row r="359" spans="1:6" ht="15.75" customHeight="1">
      <c r="A359" s="79"/>
      <c r="B359" s="16">
        <v>635</v>
      </c>
      <c r="C359" s="22" t="s">
        <v>670</v>
      </c>
      <c r="D359" s="208">
        <v>60</v>
      </c>
      <c r="E359" s="18">
        <v>60</v>
      </c>
      <c r="F359" s="18">
        <v>0</v>
      </c>
    </row>
    <row r="360" spans="1:6" ht="15.75" customHeight="1">
      <c r="A360" s="79"/>
      <c r="B360" s="16">
        <v>637</v>
      </c>
      <c r="C360" s="22" t="s">
        <v>414</v>
      </c>
      <c r="D360" s="208">
        <f>SUM(D361:D362)</f>
        <v>110</v>
      </c>
      <c r="E360" s="18">
        <f>SUM(E361:E362)</f>
        <v>110</v>
      </c>
      <c r="F360" s="18">
        <f>SUM(F361:F362)</f>
        <v>211</v>
      </c>
    </row>
    <row r="361" spans="1:6" ht="15.75" customHeight="1">
      <c r="A361" s="79"/>
      <c r="B361" s="23">
        <v>637004</v>
      </c>
      <c r="C361" s="27" t="s">
        <v>419</v>
      </c>
      <c r="D361" s="209">
        <v>50</v>
      </c>
      <c r="E361" s="25">
        <v>50</v>
      </c>
      <c r="F361" s="25">
        <v>65</v>
      </c>
    </row>
    <row r="362" spans="1:6" ht="15.75" customHeight="1">
      <c r="A362" s="79"/>
      <c r="B362" s="23">
        <v>637027</v>
      </c>
      <c r="C362" s="24" t="s">
        <v>432</v>
      </c>
      <c r="D362" s="209">
        <v>60</v>
      </c>
      <c r="E362" s="25">
        <v>60</v>
      </c>
      <c r="F362" s="25">
        <v>146</v>
      </c>
    </row>
    <row r="363" spans="1:6" ht="15.75" customHeight="1">
      <c r="A363" s="72" t="s">
        <v>766</v>
      </c>
      <c r="B363" s="231" t="s">
        <v>714</v>
      </c>
      <c r="C363" s="12"/>
      <c r="D363" s="211">
        <f>D364+D365+D367+D368+D370</f>
        <v>1195</v>
      </c>
      <c r="E363" s="14">
        <f>E364+E365+E367+E368+E370</f>
        <v>1195</v>
      </c>
      <c r="F363" s="14">
        <f>F364+F365+F367+F368+F370</f>
        <v>765</v>
      </c>
    </row>
    <row r="364" spans="1:6" ht="15.75" customHeight="1">
      <c r="A364" s="79"/>
      <c r="B364" s="16">
        <v>632</v>
      </c>
      <c r="C364" s="17" t="s">
        <v>396</v>
      </c>
      <c r="D364" s="208">
        <v>190</v>
      </c>
      <c r="E364" s="18">
        <v>15</v>
      </c>
      <c r="F364" s="18">
        <v>14</v>
      </c>
    </row>
    <row r="365" spans="1:6" ht="15.75" customHeight="1">
      <c r="A365" s="79"/>
      <c r="B365" s="16">
        <v>633</v>
      </c>
      <c r="C365" s="22" t="s">
        <v>397</v>
      </c>
      <c r="D365" s="208">
        <f>SUM(D366)</f>
        <v>75</v>
      </c>
      <c r="E365" s="18">
        <f>SUM(E366)</f>
        <v>96</v>
      </c>
      <c r="F365" s="18">
        <f>SUM(F366)</f>
        <v>51</v>
      </c>
    </row>
    <row r="366" spans="1:6" ht="15.75" customHeight="1">
      <c r="A366" s="79"/>
      <c r="B366" s="23">
        <v>633006</v>
      </c>
      <c r="C366" s="24" t="s">
        <v>404</v>
      </c>
      <c r="D366" s="209">
        <v>75</v>
      </c>
      <c r="E366" s="25">
        <v>96</v>
      </c>
      <c r="F366" s="25">
        <v>51</v>
      </c>
    </row>
    <row r="367" spans="1:6" ht="15.75" customHeight="1">
      <c r="A367" s="79"/>
      <c r="B367" s="16">
        <v>634</v>
      </c>
      <c r="C367" s="17" t="s">
        <v>410</v>
      </c>
      <c r="D367" s="208">
        <v>80</v>
      </c>
      <c r="E367" s="18">
        <v>3</v>
      </c>
      <c r="F367" s="18">
        <v>3</v>
      </c>
    </row>
    <row r="368" spans="1:6" ht="15.75" customHeight="1">
      <c r="A368" s="69"/>
      <c r="B368" s="16">
        <v>635</v>
      </c>
      <c r="C368" s="22" t="s">
        <v>670</v>
      </c>
      <c r="D368" s="208">
        <f>SUM(D369)</f>
        <v>100</v>
      </c>
      <c r="E368" s="18">
        <f>SUM(E369)</f>
        <v>275</v>
      </c>
      <c r="F368" s="18">
        <f>SUM(F369)</f>
        <v>173</v>
      </c>
    </row>
    <row r="369" spans="1:6" ht="15.75" customHeight="1">
      <c r="A369" s="69"/>
      <c r="B369" s="23">
        <v>635006</v>
      </c>
      <c r="C369" s="24" t="s">
        <v>451</v>
      </c>
      <c r="D369" s="209">
        <v>100</v>
      </c>
      <c r="E369" s="25">
        <v>275</v>
      </c>
      <c r="F369" s="25">
        <v>173</v>
      </c>
    </row>
    <row r="370" spans="1:6" ht="15.75" customHeight="1">
      <c r="A370" s="69"/>
      <c r="B370" s="16">
        <v>637</v>
      </c>
      <c r="C370" s="22" t="s">
        <v>414</v>
      </c>
      <c r="D370" s="208">
        <f>SUM(D371:D374)</f>
        <v>750</v>
      </c>
      <c r="E370" s="18">
        <f>SUM(E371:E374)</f>
        <v>806</v>
      </c>
      <c r="F370" s="18">
        <f>SUM(F371:F374)</f>
        <v>524</v>
      </c>
    </row>
    <row r="371" spans="1:6" ht="15.75" customHeight="1">
      <c r="A371" s="69"/>
      <c r="B371" s="23">
        <v>637001</v>
      </c>
      <c r="C371" s="24" t="s">
        <v>416</v>
      </c>
      <c r="D371" s="209">
        <v>50</v>
      </c>
      <c r="E371" s="25">
        <v>86</v>
      </c>
      <c r="F371" s="25">
        <v>15</v>
      </c>
    </row>
    <row r="372" spans="1:6" ht="15.75" customHeight="1">
      <c r="A372" s="69"/>
      <c r="B372" s="23">
        <v>637002</v>
      </c>
      <c r="C372" s="24" t="s">
        <v>420</v>
      </c>
      <c r="D372" s="209">
        <v>250</v>
      </c>
      <c r="E372" s="25">
        <v>250</v>
      </c>
      <c r="F372" s="25">
        <v>258</v>
      </c>
    </row>
    <row r="373" spans="1:6" ht="15.75" customHeight="1">
      <c r="A373" s="69"/>
      <c r="B373" s="23">
        <v>637012</v>
      </c>
      <c r="C373" s="24" t="s">
        <v>424</v>
      </c>
      <c r="D373" s="209">
        <v>50</v>
      </c>
      <c r="E373" s="25">
        <v>50</v>
      </c>
      <c r="F373" s="25">
        <v>9</v>
      </c>
    </row>
    <row r="374" spans="1:6" ht="15.75" customHeight="1">
      <c r="A374" s="69"/>
      <c r="B374" s="23">
        <v>637027</v>
      </c>
      <c r="C374" s="24" t="s">
        <v>432</v>
      </c>
      <c r="D374" s="209">
        <v>400</v>
      </c>
      <c r="E374" s="25">
        <v>420</v>
      </c>
      <c r="F374" s="25">
        <f>2+240</f>
        <v>242</v>
      </c>
    </row>
    <row r="375" spans="1:6" ht="15.75" customHeight="1">
      <c r="A375" s="72" t="s">
        <v>715</v>
      </c>
      <c r="B375" s="11" t="s">
        <v>535</v>
      </c>
      <c r="C375" s="12"/>
      <c r="D375" s="211">
        <f aca="true" t="shared" si="5" ref="D375:F376">SUM(D376)</f>
        <v>1500</v>
      </c>
      <c r="E375" s="14">
        <f t="shared" si="5"/>
        <v>1500</v>
      </c>
      <c r="F375" s="14">
        <f t="shared" si="5"/>
        <v>320</v>
      </c>
    </row>
    <row r="376" spans="1:6" ht="15.75" customHeight="1">
      <c r="A376" s="79"/>
      <c r="B376" s="16">
        <v>640</v>
      </c>
      <c r="C376" s="17" t="s">
        <v>478</v>
      </c>
      <c r="D376" s="208">
        <f t="shared" si="5"/>
        <v>1500</v>
      </c>
      <c r="E376" s="18">
        <f t="shared" si="5"/>
        <v>1500</v>
      </c>
      <c r="F376" s="18">
        <f t="shared" si="5"/>
        <v>320</v>
      </c>
    </row>
    <row r="377" spans="1:6" ht="15.75" customHeight="1">
      <c r="A377" s="69"/>
      <c r="B377" s="23">
        <v>642007</v>
      </c>
      <c r="C377" s="24" t="s">
        <v>483</v>
      </c>
      <c r="D377" s="209">
        <v>1500</v>
      </c>
      <c r="E377" s="25">
        <v>1500</v>
      </c>
      <c r="F377" s="25">
        <v>320</v>
      </c>
    </row>
    <row r="378" spans="1:6" ht="15.75" customHeight="1">
      <c r="A378" s="72" t="s">
        <v>767</v>
      </c>
      <c r="B378" s="11" t="s">
        <v>716</v>
      </c>
      <c r="C378" s="12"/>
      <c r="D378" s="211">
        <f>D379+D380+D381+D398</f>
        <v>14675</v>
      </c>
      <c r="E378" s="14">
        <f>E379+E380+E381+E398</f>
        <v>14675</v>
      </c>
      <c r="F378" s="14">
        <f>F379+F380+F381+F398</f>
        <v>13375</v>
      </c>
    </row>
    <row r="379" spans="1:8" ht="15.75" customHeight="1">
      <c r="A379" s="79"/>
      <c r="B379" s="16">
        <v>610</v>
      </c>
      <c r="C379" s="17" t="s">
        <v>391</v>
      </c>
      <c r="D379" s="208">
        <v>7600</v>
      </c>
      <c r="E379" s="18">
        <v>7600</v>
      </c>
      <c r="F379" s="18">
        <v>7633</v>
      </c>
      <c r="H379" s="29"/>
    </row>
    <row r="380" spans="1:8" ht="15.75" customHeight="1">
      <c r="A380" s="69"/>
      <c r="B380" s="20">
        <v>620</v>
      </c>
      <c r="C380" s="17" t="s">
        <v>392</v>
      </c>
      <c r="D380" s="208">
        <v>2900</v>
      </c>
      <c r="E380" s="18">
        <v>2900</v>
      </c>
      <c r="F380" s="18">
        <v>2595</v>
      </c>
      <c r="G380" s="33"/>
      <c r="H380" s="29"/>
    </row>
    <row r="381" spans="1:8" ht="15.75" customHeight="1">
      <c r="A381" s="79"/>
      <c r="B381" s="16">
        <v>630</v>
      </c>
      <c r="C381" s="22" t="s">
        <v>393</v>
      </c>
      <c r="D381" s="208">
        <f>D382+D383+D390+D392</f>
        <v>4150</v>
      </c>
      <c r="E381" s="18">
        <f>E382+E383+E390+E392</f>
        <v>4150</v>
      </c>
      <c r="F381" s="18">
        <f>F382+F383+F390+F392</f>
        <v>3118</v>
      </c>
      <c r="H381" s="29"/>
    </row>
    <row r="382" spans="1:8" ht="15.75" customHeight="1">
      <c r="A382" s="79"/>
      <c r="B382" s="16">
        <v>632</v>
      </c>
      <c r="C382" s="17" t="s">
        <v>396</v>
      </c>
      <c r="D382" s="208">
        <v>1900</v>
      </c>
      <c r="E382" s="18">
        <v>1900</v>
      </c>
      <c r="F382" s="18">
        <v>1339</v>
      </c>
      <c r="H382" s="29"/>
    </row>
    <row r="383" spans="1:8" ht="15.75" customHeight="1">
      <c r="A383" s="79"/>
      <c r="B383" s="16">
        <v>633</v>
      </c>
      <c r="C383" s="22" t="s">
        <v>397</v>
      </c>
      <c r="D383" s="208">
        <f>SUM(D384:D389)</f>
        <v>1500</v>
      </c>
      <c r="E383" s="18">
        <f>SUM(E384:E389)</f>
        <v>1500</v>
      </c>
      <c r="F383" s="18">
        <f>SUM(F384:F389)</f>
        <v>1549</v>
      </c>
      <c r="H383" s="29"/>
    </row>
    <row r="384" spans="1:8" ht="15.75" customHeight="1">
      <c r="A384" s="69"/>
      <c r="B384" s="23">
        <v>633001</v>
      </c>
      <c r="C384" s="24" t="s">
        <v>398</v>
      </c>
      <c r="D384" s="209">
        <v>100</v>
      </c>
      <c r="E384" s="25">
        <v>100</v>
      </c>
      <c r="F384" s="25">
        <v>97</v>
      </c>
      <c r="H384" s="29"/>
    </row>
    <row r="385" spans="1:8" ht="15.75" customHeight="1">
      <c r="A385" s="69"/>
      <c r="B385" s="23">
        <v>633004</v>
      </c>
      <c r="C385" s="24" t="s">
        <v>402</v>
      </c>
      <c r="D385" s="209">
        <v>50</v>
      </c>
      <c r="E385" s="25">
        <v>50</v>
      </c>
      <c r="F385" s="25">
        <v>50</v>
      </c>
      <c r="G385" s="4"/>
      <c r="H385" s="29"/>
    </row>
    <row r="386" spans="1:6" ht="15.75" customHeight="1">
      <c r="A386" s="69"/>
      <c r="B386" s="23">
        <v>633006</v>
      </c>
      <c r="C386" s="24" t="s">
        <v>404</v>
      </c>
      <c r="D386" s="209">
        <v>415</v>
      </c>
      <c r="E386" s="25">
        <v>415</v>
      </c>
      <c r="F386" s="25">
        <v>234</v>
      </c>
    </row>
    <row r="387" spans="1:6" ht="15.75" customHeight="1">
      <c r="A387" s="69"/>
      <c r="B387" s="23">
        <v>633009</v>
      </c>
      <c r="C387" s="24" t="s">
        <v>405</v>
      </c>
      <c r="D387" s="209">
        <v>5</v>
      </c>
      <c r="E387" s="25">
        <v>5</v>
      </c>
      <c r="F387" s="25">
        <v>13</v>
      </c>
    </row>
    <row r="388" spans="1:6" ht="15.75" customHeight="1">
      <c r="A388" s="69"/>
      <c r="B388" s="23">
        <v>633010</v>
      </c>
      <c r="C388" s="24" t="s">
        <v>406</v>
      </c>
      <c r="D388" s="209">
        <v>30</v>
      </c>
      <c r="E388" s="25">
        <v>30</v>
      </c>
      <c r="F388" s="25">
        <v>100</v>
      </c>
    </row>
    <row r="389" spans="1:6" ht="15.75" customHeight="1">
      <c r="A389" s="69"/>
      <c r="B389" s="23">
        <v>633011</v>
      </c>
      <c r="C389" s="24" t="s">
        <v>462</v>
      </c>
      <c r="D389" s="209">
        <v>900</v>
      </c>
      <c r="E389" s="25">
        <v>900</v>
      </c>
      <c r="F389" s="25">
        <v>1055</v>
      </c>
    </row>
    <row r="390" spans="1:6" ht="15.75" customHeight="1" thickBot="1">
      <c r="A390" s="269"/>
      <c r="B390" s="270">
        <v>635</v>
      </c>
      <c r="C390" s="251" t="s">
        <v>670</v>
      </c>
      <c r="D390" s="215">
        <v>400</v>
      </c>
      <c r="E390" s="252">
        <v>400</v>
      </c>
      <c r="F390" s="252">
        <v>36</v>
      </c>
    </row>
    <row r="391" spans="1:6" ht="15.75" customHeight="1" thickBot="1">
      <c r="A391" s="601"/>
      <c r="B391" s="31"/>
      <c r="C391" s="30"/>
      <c r="D391" s="212"/>
      <c r="E391" s="33"/>
      <c r="F391" s="8" t="s">
        <v>750</v>
      </c>
    </row>
    <row r="392" spans="1:6" ht="15.75" customHeight="1">
      <c r="A392" s="265"/>
      <c r="B392" s="248">
        <v>637</v>
      </c>
      <c r="C392" s="249" t="s">
        <v>414</v>
      </c>
      <c r="D392" s="267">
        <f>SUM(D393:D397)</f>
        <v>350</v>
      </c>
      <c r="E392" s="268">
        <f>SUM(E393:E397)</f>
        <v>350</v>
      </c>
      <c r="F392" s="268">
        <f>SUM(F393:F397)</f>
        <v>194</v>
      </c>
    </row>
    <row r="393" spans="1:6" ht="15.75" customHeight="1">
      <c r="A393" s="69"/>
      <c r="B393" s="23">
        <v>637004</v>
      </c>
      <c r="C393" s="24" t="s">
        <v>419</v>
      </c>
      <c r="D393" s="209">
        <v>80</v>
      </c>
      <c r="E393" s="25">
        <v>80</v>
      </c>
      <c r="F393" s="25">
        <v>72</v>
      </c>
    </row>
    <row r="394" spans="1:6" ht="15.75" customHeight="1">
      <c r="A394" s="69"/>
      <c r="B394" s="23">
        <v>637012</v>
      </c>
      <c r="C394" s="24" t="s">
        <v>424</v>
      </c>
      <c r="D394" s="209">
        <v>60</v>
      </c>
      <c r="E394" s="25">
        <v>60</v>
      </c>
      <c r="F394" s="25">
        <v>9</v>
      </c>
    </row>
    <row r="395" spans="1:6" ht="15.75" customHeight="1">
      <c r="A395" s="69"/>
      <c r="B395" s="23">
        <v>637015</v>
      </c>
      <c r="C395" s="24" t="s">
        <v>426</v>
      </c>
      <c r="D395" s="209">
        <v>80</v>
      </c>
      <c r="E395" s="25">
        <v>80</v>
      </c>
      <c r="F395" s="25">
        <v>0</v>
      </c>
    </row>
    <row r="396" spans="1:6" ht="15.75" customHeight="1">
      <c r="A396" s="69"/>
      <c r="B396" s="23">
        <v>637016</v>
      </c>
      <c r="C396" s="24" t="s">
        <v>427</v>
      </c>
      <c r="D396" s="209">
        <v>80</v>
      </c>
      <c r="E396" s="25">
        <v>80</v>
      </c>
      <c r="F396" s="25">
        <v>113</v>
      </c>
    </row>
    <row r="397" spans="1:6" ht="15.75" customHeight="1">
      <c r="A397" s="69"/>
      <c r="B397" s="23">
        <v>637027</v>
      </c>
      <c r="C397" s="24" t="s">
        <v>432</v>
      </c>
      <c r="D397" s="209">
        <v>50</v>
      </c>
      <c r="E397" s="25">
        <v>50</v>
      </c>
      <c r="F397" s="25">
        <v>0</v>
      </c>
    </row>
    <row r="398" spans="1:6" ht="15.75" customHeight="1">
      <c r="A398" s="79"/>
      <c r="B398" s="16">
        <v>640</v>
      </c>
      <c r="C398" s="17" t="s">
        <v>435</v>
      </c>
      <c r="D398" s="208">
        <f>SUM(D399:D400)</f>
        <v>25</v>
      </c>
      <c r="E398" s="18">
        <f>SUM(E399:E400)</f>
        <v>25</v>
      </c>
      <c r="F398" s="18">
        <f>SUM(F399:F400)</f>
        <v>29</v>
      </c>
    </row>
    <row r="399" spans="1:6" s="180" customFormat="1" ht="15.75" customHeight="1">
      <c r="A399" s="69"/>
      <c r="B399" s="23">
        <v>642013</v>
      </c>
      <c r="C399" s="24" t="s">
        <v>439</v>
      </c>
      <c r="D399" s="209">
        <v>0</v>
      </c>
      <c r="E399" s="25">
        <v>0</v>
      </c>
      <c r="F399" s="25">
        <v>11</v>
      </c>
    </row>
    <row r="400" spans="1:6" ht="15.75" customHeight="1">
      <c r="A400" s="69"/>
      <c r="B400" s="23">
        <v>642015</v>
      </c>
      <c r="C400" s="24" t="s">
        <v>440</v>
      </c>
      <c r="D400" s="209">
        <v>25</v>
      </c>
      <c r="E400" s="25">
        <v>25</v>
      </c>
      <c r="F400" s="25">
        <v>18</v>
      </c>
    </row>
    <row r="401" spans="1:6" ht="15.75" customHeight="1">
      <c r="A401" s="72" t="s">
        <v>717</v>
      </c>
      <c r="B401" s="11" t="s">
        <v>541</v>
      </c>
      <c r="C401" s="12"/>
      <c r="D401" s="211">
        <f>SUM(D402+D403)</f>
        <v>84769</v>
      </c>
      <c r="E401" s="14">
        <f>SUM(E402+E403)</f>
        <v>84769</v>
      </c>
      <c r="F401" s="14">
        <f>SUM(F402+F403)</f>
        <v>79542</v>
      </c>
    </row>
    <row r="402" spans="1:6" ht="15.75" customHeight="1">
      <c r="A402" s="230"/>
      <c r="B402" s="16">
        <v>640</v>
      </c>
      <c r="C402" s="17" t="s">
        <v>435</v>
      </c>
      <c r="D402" s="210">
        <v>0</v>
      </c>
      <c r="E402" s="184">
        <v>0</v>
      </c>
      <c r="F402" s="184">
        <v>277</v>
      </c>
    </row>
    <row r="403" spans="1:6" ht="15.75" customHeight="1">
      <c r="A403" s="79"/>
      <c r="B403" s="20">
        <v>641</v>
      </c>
      <c r="C403" s="17" t="s">
        <v>484</v>
      </c>
      <c r="D403" s="208">
        <f>D404</f>
        <v>84769</v>
      </c>
      <c r="E403" s="18">
        <f>E404</f>
        <v>84769</v>
      </c>
      <c r="F403" s="18">
        <f>F404</f>
        <v>79265</v>
      </c>
    </row>
    <row r="404" spans="1:6" ht="15.75" customHeight="1">
      <c r="A404" s="69"/>
      <c r="B404" s="23">
        <v>641006</v>
      </c>
      <c r="C404" s="24" t="s">
        <v>671</v>
      </c>
      <c r="D404" s="209">
        <f>73705+11064</f>
        <v>84769</v>
      </c>
      <c r="E404" s="25">
        <f>73705+11064</f>
        <v>84769</v>
      </c>
      <c r="F404" s="191">
        <f>71705+7560</f>
        <v>79265</v>
      </c>
    </row>
    <row r="405" spans="1:6" ht="15.75" customHeight="1">
      <c r="A405" s="72" t="s">
        <v>768</v>
      </c>
      <c r="B405" s="11" t="s">
        <v>543</v>
      </c>
      <c r="C405" s="12"/>
      <c r="D405" s="211">
        <f>SUM(D406+D408+D409+D413)</f>
        <v>242160</v>
      </c>
      <c r="E405" s="14">
        <f>SUM(E406+E408+E409+E413)</f>
        <v>270942</v>
      </c>
      <c r="F405" s="14">
        <f>SUM(F406+F408+F409+F413)</f>
        <v>303156</v>
      </c>
    </row>
    <row r="406" spans="1:6" ht="15.75" customHeight="1">
      <c r="A406" s="230"/>
      <c r="B406" s="16">
        <v>637</v>
      </c>
      <c r="C406" s="22" t="s">
        <v>414</v>
      </c>
      <c r="D406" s="210">
        <f>SUM(D407)</f>
        <v>0</v>
      </c>
      <c r="E406" s="184">
        <f>SUM(E407)</f>
        <v>100</v>
      </c>
      <c r="F406" s="184">
        <f>SUM(F407)</f>
        <v>68</v>
      </c>
    </row>
    <row r="407" spans="1:8" ht="15.75" customHeight="1">
      <c r="A407" s="79"/>
      <c r="B407" s="23">
        <v>637012</v>
      </c>
      <c r="C407" s="24" t="s">
        <v>424</v>
      </c>
      <c r="D407" s="220">
        <v>0</v>
      </c>
      <c r="E407" s="53">
        <v>100</v>
      </c>
      <c r="F407" s="53">
        <v>68</v>
      </c>
      <c r="H407" s="54"/>
    </row>
    <row r="408" spans="1:8" s="182" customFormat="1" ht="15.75" customHeight="1">
      <c r="A408" s="79"/>
      <c r="B408" s="20">
        <v>640</v>
      </c>
      <c r="C408" s="17" t="s">
        <v>435</v>
      </c>
      <c r="D408" s="221">
        <v>0</v>
      </c>
      <c r="E408" s="181">
        <v>100</v>
      </c>
      <c r="F408" s="181">
        <v>529</v>
      </c>
      <c r="H408" s="204">
        <f>SUM(D410+D411+D412)</f>
        <v>229557</v>
      </c>
    </row>
    <row r="409" spans="1:6" ht="15.75" customHeight="1">
      <c r="A409" s="79"/>
      <c r="B409" s="20">
        <v>641</v>
      </c>
      <c r="C409" s="17" t="s">
        <v>484</v>
      </c>
      <c r="D409" s="208">
        <f>SUM(D410:D412)</f>
        <v>229557</v>
      </c>
      <c r="E409" s="18">
        <f>SUM(E410:E412)</f>
        <v>247139</v>
      </c>
      <c r="F409" s="18">
        <f>SUM(F410:F412)</f>
        <v>278903</v>
      </c>
    </row>
    <row r="410" spans="1:6" ht="15.75" customHeight="1">
      <c r="A410" s="69"/>
      <c r="B410" s="23">
        <v>641006</v>
      </c>
      <c r="C410" s="24" t="s">
        <v>485</v>
      </c>
      <c r="D410" s="209">
        <v>20247</v>
      </c>
      <c r="E410" s="25">
        <v>20247</v>
      </c>
      <c r="F410" s="25">
        <v>23868</v>
      </c>
    </row>
    <row r="411" spans="1:8" ht="15.75" customHeight="1">
      <c r="A411" s="69"/>
      <c r="B411" s="23">
        <v>641006</v>
      </c>
      <c r="C411" s="24" t="s">
        <v>486</v>
      </c>
      <c r="D411" s="209">
        <v>12534</v>
      </c>
      <c r="E411" s="25">
        <v>12534</v>
      </c>
      <c r="F411" s="25">
        <v>17160</v>
      </c>
      <c r="H411" s="51">
        <f>SUM(E409+E413)</f>
        <v>270742</v>
      </c>
    </row>
    <row r="412" spans="1:6" ht="15.75" customHeight="1">
      <c r="A412" s="79"/>
      <c r="B412" s="23">
        <v>641006</v>
      </c>
      <c r="C412" s="24" t="s">
        <v>374</v>
      </c>
      <c r="D412" s="220">
        <f>194801+1975</f>
        <v>196776</v>
      </c>
      <c r="E412" s="53">
        <f>194801+20000-443</f>
        <v>214358</v>
      </c>
      <c r="F412" s="53">
        <f>199158+12569+129+200-5000+1601+29218</f>
        <v>237875</v>
      </c>
    </row>
    <row r="413" spans="1:6" s="182" customFormat="1" ht="15.75" customHeight="1">
      <c r="A413" s="79"/>
      <c r="B413" s="20">
        <v>642</v>
      </c>
      <c r="C413" s="17" t="s">
        <v>666</v>
      </c>
      <c r="D413" s="221">
        <v>12603</v>
      </c>
      <c r="E413" s="181">
        <f>D413+11000</f>
        <v>23603</v>
      </c>
      <c r="F413" s="181">
        <f>7607+5524+1408+2803+6276+38</f>
        <v>23656</v>
      </c>
    </row>
    <row r="414" spans="1:6" ht="15.75" customHeight="1">
      <c r="A414" s="72" t="s">
        <v>718</v>
      </c>
      <c r="B414" s="11" t="s">
        <v>719</v>
      </c>
      <c r="C414" s="12"/>
      <c r="D414" s="211">
        <f aca="true" t="shared" si="6" ref="D414:F415">D415</f>
        <v>33129</v>
      </c>
      <c r="E414" s="14">
        <f t="shared" si="6"/>
        <v>33129</v>
      </c>
      <c r="F414" s="14">
        <f t="shared" si="6"/>
        <v>31336</v>
      </c>
    </row>
    <row r="415" spans="1:8" ht="15.75" customHeight="1">
      <c r="A415" s="79"/>
      <c r="B415" s="20">
        <v>641</v>
      </c>
      <c r="C415" s="17" t="s">
        <v>484</v>
      </c>
      <c r="D415" s="208">
        <f t="shared" si="6"/>
        <v>33129</v>
      </c>
      <c r="E415" s="18">
        <f t="shared" si="6"/>
        <v>33129</v>
      </c>
      <c r="F415" s="18">
        <f t="shared" si="6"/>
        <v>31336</v>
      </c>
      <c r="H415" s="51"/>
    </row>
    <row r="416" spans="1:6" ht="15.75" customHeight="1">
      <c r="A416" s="69"/>
      <c r="B416" s="23">
        <v>641006</v>
      </c>
      <c r="C416" s="24" t="s">
        <v>487</v>
      </c>
      <c r="D416" s="209">
        <f>32179+950</f>
        <v>33129</v>
      </c>
      <c r="E416" s="25">
        <f>32179+950</f>
        <v>33129</v>
      </c>
      <c r="F416" s="25">
        <v>31336</v>
      </c>
    </row>
    <row r="417" spans="1:6" ht="15.75" customHeight="1">
      <c r="A417" s="72" t="s">
        <v>720</v>
      </c>
      <c r="B417" s="11" t="s">
        <v>721</v>
      </c>
      <c r="C417" s="12"/>
      <c r="D417" s="211">
        <f aca="true" t="shared" si="7" ref="D417:F418">D418</f>
        <v>11969</v>
      </c>
      <c r="E417" s="14">
        <f t="shared" si="7"/>
        <v>11969</v>
      </c>
      <c r="F417" s="14">
        <f t="shared" si="7"/>
        <v>10269</v>
      </c>
    </row>
    <row r="418" spans="1:6" ht="15.75" customHeight="1">
      <c r="A418" s="79"/>
      <c r="B418" s="20">
        <v>641</v>
      </c>
      <c r="C418" s="17" t="s">
        <v>484</v>
      </c>
      <c r="D418" s="208">
        <f t="shared" si="7"/>
        <v>11969</v>
      </c>
      <c r="E418" s="18">
        <f t="shared" si="7"/>
        <v>11969</v>
      </c>
      <c r="F418" s="18">
        <f t="shared" si="7"/>
        <v>10269</v>
      </c>
    </row>
    <row r="419" spans="1:6" ht="15.75" customHeight="1">
      <c r="A419" s="69"/>
      <c r="B419" s="23">
        <v>641006</v>
      </c>
      <c r="C419" s="24" t="s">
        <v>488</v>
      </c>
      <c r="D419" s="209">
        <v>11969</v>
      </c>
      <c r="E419" s="25">
        <v>11969</v>
      </c>
      <c r="F419" s="25">
        <v>10269</v>
      </c>
    </row>
    <row r="420" spans="1:6" ht="15.75" customHeight="1">
      <c r="A420" s="72" t="s">
        <v>769</v>
      </c>
      <c r="B420" s="11" t="s">
        <v>722</v>
      </c>
      <c r="C420" s="12"/>
      <c r="D420" s="211">
        <f aca="true" t="shared" si="8" ref="D420:F421">D421</f>
        <v>4350</v>
      </c>
      <c r="E420" s="14">
        <f t="shared" si="8"/>
        <v>4350</v>
      </c>
      <c r="F420" s="14">
        <f t="shared" si="8"/>
        <v>4148</v>
      </c>
    </row>
    <row r="421" spans="1:6" ht="15.75" customHeight="1">
      <c r="A421" s="79"/>
      <c r="B421" s="20">
        <v>641</v>
      </c>
      <c r="C421" s="17" t="s">
        <v>484</v>
      </c>
      <c r="D421" s="208">
        <f t="shared" si="8"/>
        <v>4350</v>
      </c>
      <c r="E421" s="18">
        <f t="shared" si="8"/>
        <v>4350</v>
      </c>
      <c r="F421" s="18">
        <f t="shared" si="8"/>
        <v>4148</v>
      </c>
    </row>
    <row r="422" spans="1:6" ht="15.75" customHeight="1">
      <c r="A422" s="69"/>
      <c r="B422" s="23">
        <v>641006</v>
      </c>
      <c r="C422" s="24" t="s">
        <v>489</v>
      </c>
      <c r="D422" s="209">
        <v>4350</v>
      </c>
      <c r="E422" s="25">
        <v>4350</v>
      </c>
      <c r="F422" s="25">
        <v>4148</v>
      </c>
    </row>
    <row r="423" spans="1:6" ht="15.75" customHeight="1">
      <c r="A423" s="72" t="s">
        <v>723</v>
      </c>
      <c r="B423" s="11" t="s">
        <v>724</v>
      </c>
      <c r="C423" s="12"/>
      <c r="D423" s="211">
        <v>0</v>
      </c>
      <c r="E423" s="14">
        <v>0</v>
      </c>
      <c r="F423" s="14">
        <f>10+361</f>
        <v>371</v>
      </c>
    </row>
    <row r="424" spans="1:6" ht="15.75" customHeight="1">
      <c r="A424" s="72" t="s">
        <v>725</v>
      </c>
      <c r="B424" s="49" t="s">
        <v>726</v>
      </c>
      <c r="C424" s="242"/>
      <c r="D424" s="211">
        <f>SUM(D425)</f>
        <v>0</v>
      </c>
      <c r="E424" s="14">
        <f>SUM(E425)</f>
        <v>0</v>
      </c>
      <c r="F424" s="14">
        <f>SUM(F425)</f>
        <v>310</v>
      </c>
    </row>
    <row r="425" spans="1:6" ht="15.75" customHeight="1">
      <c r="A425" s="69"/>
      <c r="B425" s="23">
        <v>642001</v>
      </c>
      <c r="C425" s="24" t="s">
        <v>667</v>
      </c>
      <c r="D425" s="209">
        <v>0</v>
      </c>
      <c r="E425" s="25">
        <v>0</v>
      </c>
      <c r="F425" s="25">
        <v>310</v>
      </c>
    </row>
    <row r="426" spans="1:6" ht="15.75" customHeight="1">
      <c r="A426" s="58" t="s">
        <v>727</v>
      </c>
      <c r="B426" s="59" t="s">
        <v>539</v>
      </c>
      <c r="C426" s="60"/>
      <c r="D426" s="214">
        <f>D427+D428+D429+D451</f>
        <v>9585</v>
      </c>
      <c r="E426" s="39">
        <f>E427+E428+E429+E451</f>
        <v>9585</v>
      </c>
      <c r="F426" s="39">
        <f>F427+F428+F429+F451</f>
        <v>5725</v>
      </c>
    </row>
    <row r="427" spans="1:6" ht="15.75" customHeight="1">
      <c r="A427" s="15"/>
      <c r="B427" s="16">
        <v>610</v>
      </c>
      <c r="C427" s="17" t="s">
        <v>391</v>
      </c>
      <c r="D427" s="208">
        <v>1900</v>
      </c>
      <c r="E427" s="18">
        <v>1900</v>
      </c>
      <c r="F427" s="18">
        <v>1393</v>
      </c>
    </row>
    <row r="428" spans="1:6" ht="15.75" customHeight="1">
      <c r="A428" s="19"/>
      <c r="B428" s="20">
        <v>620</v>
      </c>
      <c r="C428" s="17" t="s">
        <v>392</v>
      </c>
      <c r="D428" s="208">
        <v>700</v>
      </c>
      <c r="E428" s="18">
        <v>700</v>
      </c>
      <c r="F428" s="18">
        <v>480</v>
      </c>
    </row>
    <row r="429" spans="1:6" ht="15.75" customHeight="1">
      <c r="A429" s="21"/>
      <c r="B429" s="16">
        <v>630</v>
      </c>
      <c r="C429" s="22" t="s">
        <v>393</v>
      </c>
      <c r="D429" s="208">
        <f>D430+D431+D440+D441+D442</f>
        <v>6960</v>
      </c>
      <c r="E429" s="18">
        <f>E430+E431+E440+E441+E442</f>
        <v>6960</v>
      </c>
      <c r="F429" s="18">
        <f>F430+F431+F440+F441+F442</f>
        <v>3840</v>
      </c>
    </row>
    <row r="430" spans="1:6" ht="15.75" customHeight="1">
      <c r="A430" s="21"/>
      <c r="B430" s="16">
        <v>632</v>
      </c>
      <c r="C430" s="17" t="s">
        <v>396</v>
      </c>
      <c r="D430" s="208">
        <v>1700</v>
      </c>
      <c r="E430" s="18">
        <v>1700</v>
      </c>
      <c r="F430" s="18">
        <v>655</v>
      </c>
    </row>
    <row r="431" spans="1:6" ht="15.75" customHeight="1">
      <c r="A431" s="21"/>
      <c r="B431" s="16">
        <v>633</v>
      </c>
      <c r="C431" s="22" t="s">
        <v>397</v>
      </c>
      <c r="D431" s="208">
        <f>SUM(D432:D439)</f>
        <v>4700</v>
      </c>
      <c r="E431" s="18">
        <f>SUM(E432:E439)</f>
        <v>4700</v>
      </c>
      <c r="F431" s="18">
        <f>SUM(F432:F439)</f>
        <v>3017</v>
      </c>
    </row>
    <row r="432" spans="1:6" ht="15.75" customHeight="1">
      <c r="A432" s="19"/>
      <c r="B432" s="23">
        <v>633001</v>
      </c>
      <c r="C432" s="24" t="s">
        <v>398</v>
      </c>
      <c r="D432" s="209">
        <v>500</v>
      </c>
      <c r="E432" s="25">
        <v>500</v>
      </c>
      <c r="F432" s="25">
        <v>205</v>
      </c>
    </row>
    <row r="433" spans="1:6" ht="15.75" customHeight="1">
      <c r="A433" s="19"/>
      <c r="B433" s="23">
        <v>633002</v>
      </c>
      <c r="C433" s="24" t="s">
        <v>400</v>
      </c>
      <c r="D433" s="209">
        <v>5</v>
      </c>
      <c r="E433" s="25">
        <v>5</v>
      </c>
      <c r="F433" s="25">
        <v>0</v>
      </c>
    </row>
    <row r="434" spans="1:6" ht="15.75" customHeight="1">
      <c r="A434" s="19"/>
      <c r="B434" s="23">
        <v>633004</v>
      </c>
      <c r="C434" s="24" t="s">
        <v>402</v>
      </c>
      <c r="D434" s="209">
        <v>200</v>
      </c>
      <c r="E434" s="25">
        <v>200</v>
      </c>
      <c r="F434" s="25">
        <v>192</v>
      </c>
    </row>
    <row r="435" spans="1:6" ht="15.75" customHeight="1">
      <c r="A435" s="19"/>
      <c r="B435" s="23">
        <v>633006</v>
      </c>
      <c r="C435" s="24" t="s">
        <v>404</v>
      </c>
      <c r="D435" s="209">
        <v>170</v>
      </c>
      <c r="E435" s="25">
        <v>170</v>
      </c>
      <c r="F435" s="25">
        <v>101</v>
      </c>
    </row>
    <row r="436" spans="1:6" ht="15.75" customHeight="1">
      <c r="A436" s="19"/>
      <c r="B436" s="23">
        <v>633009</v>
      </c>
      <c r="C436" s="24" t="s">
        <v>405</v>
      </c>
      <c r="D436" s="209">
        <v>5</v>
      </c>
      <c r="E436" s="25">
        <v>5</v>
      </c>
      <c r="F436" s="25">
        <v>4</v>
      </c>
    </row>
    <row r="437" spans="1:6" ht="15.75" customHeight="1">
      <c r="A437" s="19"/>
      <c r="B437" s="23">
        <v>633010</v>
      </c>
      <c r="C437" s="24" t="s">
        <v>406</v>
      </c>
      <c r="D437" s="209">
        <v>10</v>
      </c>
      <c r="E437" s="25">
        <v>10</v>
      </c>
      <c r="F437" s="25">
        <v>11</v>
      </c>
    </row>
    <row r="438" spans="1:6" ht="15.75" customHeight="1">
      <c r="A438" s="19"/>
      <c r="B438" s="23">
        <v>633011</v>
      </c>
      <c r="C438" s="24" t="s">
        <v>462</v>
      </c>
      <c r="D438" s="209">
        <v>3800</v>
      </c>
      <c r="E438" s="25">
        <v>3800</v>
      </c>
      <c r="F438" s="25">
        <v>2504</v>
      </c>
    </row>
    <row r="439" spans="1:6" ht="15.75" customHeight="1">
      <c r="A439" s="19"/>
      <c r="B439" s="23">
        <v>633013</v>
      </c>
      <c r="C439" s="24" t="s">
        <v>490</v>
      </c>
      <c r="D439" s="209">
        <v>10</v>
      </c>
      <c r="E439" s="25">
        <v>10</v>
      </c>
      <c r="F439" s="25">
        <v>0</v>
      </c>
    </row>
    <row r="440" spans="1:6" ht="15.75" customHeight="1">
      <c r="A440" s="21"/>
      <c r="B440" s="20">
        <v>634</v>
      </c>
      <c r="C440" s="17" t="s">
        <v>410</v>
      </c>
      <c r="D440" s="208">
        <v>50</v>
      </c>
      <c r="E440" s="18">
        <v>50</v>
      </c>
      <c r="F440" s="18">
        <v>11</v>
      </c>
    </row>
    <row r="441" spans="1:6" ht="15.75" customHeight="1">
      <c r="A441" s="21"/>
      <c r="B441" s="16">
        <v>635</v>
      </c>
      <c r="C441" s="22" t="s">
        <v>670</v>
      </c>
      <c r="D441" s="208">
        <v>220</v>
      </c>
      <c r="E441" s="18">
        <v>220</v>
      </c>
      <c r="F441" s="18">
        <v>25</v>
      </c>
    </row>
    <row r="442" spans="1:6" ht="15.75" customHeight="1">
      <c r="A442" s="21"/>
      <c r="B442" s="16">
        <v>637</v>
      </c>
      <c r="C442" s="22" t="s">
        <v>414</v>
      </c>
      <c r="D442" s="208">
        <f>SUM(D443:D450)</f>
        <v>290</v>
      </c>
      <c r="E442" s="18">
        <f>SUM(E443:E450)</f>
        <v>290</v>
      </c>
      <c r="F442" s="18">
        <f>SUM(F443:F450)</f>
        <v>132</v>
      </c>
    </row>
    <row r="443" spans="1:6" ht="15.75" customHeight="1">
      <c r="A443" s="19"/>
      <c r="B443" s="23">
        <v>637002</v>
      </c>
      <c r="C443" s="27" t="s">
        <v>491</v>
      </c>
      <c r="D443" s="209">
        <v>55</v>
      </c>
      <c r="E443" s="25">
        <v>55</v>
      </c>
      <c r="F443" s="25">
        <v>18</v>
      </c>
    </row>
    <row r="444" spans="1:6" ht="15.75" customHeight="1">
      <c r="A444" s="19"/>
      <c r="B444" s="23">
        <v>637004</v>
      </c>
      <c r="C444" s="24" t="s">
        <v>419</v>
      </c>
      <c r="D444" s="209">
        <v>35</v>
      </c>
      <c r="E444" s="25">
        <v>35</v>
      </c>
      <c r="F444" s="25">
        <v>52</v>
      </c>
    </row>
    <row r="445" spans="1:6" ht="15.75" customHeight="1">
      <c r="A445" s="19"/>
      <c r="B445" s="23">
        <v>637012</v>
      </c>
      <c r="C445" s="24" t="s">
        <v>424</v>
      </c>
      <c r="D445" s="209">
        <v>80</v>
      </c>
      <c r="E445" s="25">
        <v>80</v>
      </c>
      <c r="F445" s="25">
        <v>3</v>
      </c>
    </row>
    <row r="446" spans="1:6" ht="15.75" customHeight="1">
      <c r="A446" s="19"/>
      <c r="B446" s="23">
        <v>637014</v>
      </c>
      <c r="C446" s="24" t="s">
        <v>425</v>
      </c>
      <c r="D446" s="209">
        <v>30</v>
      </c>
      <c r="E446" s="25">
        <v>30</v>
      </c>
      <c r="F446" s="25">
        <v>21</v>
      </c>
    </row>
    <row r="447" spans="1:6" ht="15.75" customHeight="1">
      <c r="A447" s="19"/>
      <c r="B447" s="23">
        <v>637015</v>
      </c>
      <c r="C447" s="24" t="s">
        <v>426</v>
      </c>
      <c r="D447" s="209">
        <v>10</v>
      </c>
      <c r="E447" s="25">
        <v>10</v>
      </c>
      <c r="F447" s="25">
        <v>0</v>
      </c>
    </row>
    <row r="448" spans="1:6" ht="15.75" customHeight="1">
      <c r="A448" s="19"/>
      <c r="B448" s="23">
        <v>637016</v>
      </c>
      <c r="C448" s="24" t="s">
        <v>427</v>
      </c>
      <c r="D448" s="209">
        <v>30</v>
      </c>
      <c r="E448" s="25">
        <v>30</v>
      </c>
      <c r="F448" s="25">
        <v>21</v>
      </c>
    </row>
    <row r="449" spans="1:6" ht="15.75" customHeight="1">
      <c r="A449" s="19"/>
      <c r="B449" s="23">
        <v>637027</v>
      </c>
      <c r="C449" s="24" t="s">
        <v>432</v>
      </c>
      <c r="D449" s="209">
        <v>50</v>
      </c>
      <c r="E449" s="25">
        <v>50</v>
      </c>
      <c r="F449" s="25">
        <v>17</v>
      </c>
    </row>
    <row r="450" spans="1:6" ht="15.75" customHeight="1">
      <c r="A450" s="19"/>
      <c r="B450" s="23">
        <v>637030</v>
      </c>
      <c r="C450" s="24" t="s">
        <v>433</v>
      </c>
      <c r="D450" s="209">
        <v>0</v>
      </c>
      <c r="E450" s="25">
        <v>0</v>
      </c>
      <c r="F450" s="25">
        <v>0</v>
      </c>
    </row>
    <row r="451" spans="1:6" ht="15.75" customHeight="1">
      <c r="A451" s="21"/>
      <c r="B451" s="16">
        <v>640</v>
      </c>
      <c r="C451" s="17" t="s">
        <v>435</v>
      </c>
      <c r="D451" s="208">
        <f>SUM(D452)</f>
        <v>25</v>
      </c>
      <c r="E451" s="18">
        <f>SUM(E452)</f>
        <v>25</v>
      </c>
      <c r="F451" s="18">
        <f>SUM(F452)</f>
        <v>12</v>
      </c>
    </row>
    <row r="452" spans="1:6" ht="15.75" customHeight="1">
      <c r="A452" s="19"/>
      <c r="B452" s="23">
        <v>642015</v>
      </c>
      <c r="C452" s="24" t="s">
        <v>440</v>
      </c>
      <c r="D452" s="209">
        <v>25</v>
      </c>
      <c r="E452" s="25">
        <v>25</v>
      </c>
      <c r="F452" s="25">
        <v>12</v>
      </c>
    </row>
    <row r="453" spans="1:6" ht="15.75">
      <c r="A453" s="72" t="s">
        <v>728</v>
      </c>
      <c r="B453" s="11" t="s">
        <v>729</v>
      </c>
      <c r="C453" s="12"/>
      <c r="D453" s="211">
        <f>D454+D455+D456+D473</f>
        <v>15995</v>
      </c>
      <c r="E453" s="14">
        <f>E454+E455+E456+E473</f>
        <v>15995</v>
      </c>
      <c r="F453" s="14">
        <f>F454+F455+F456+F473</f>
        <v>14986</v>
      </c>
    </row>
    <row r="454" spans="1:6" ht="15.75" customHeight="1">
      <c r="A454" s="15"/>
      <c r="B454" s="16">
        <v>610</v>
      </c>
      <c r="C454" s="17" t="s">
        <v>391</v>
      </c>
      <c r="D454" s="208">
        <v>11000</v>
      </c>
      <c r="E454" s="18">
        <v>11000</v>
      </c>
      <c r="F454" s="18">
        <v>10249</v>
      </c>
    </row>
    <row r="455" spans="1:6" ht="15.75" customHeight="1">
      <c r="A455" s="19"/>
      <c r="B455" s="20">
        <v>620</v>
      </c>
      <c r="C455" s="17" t="s">
        <v>392</v>
      </c>
      <c r="D455" s="208">
        <v>3800</v>
      </c>
      <c r="E455" s="18">
        <v>3800</v>
      </c>
      <c r="F455" s="18">
        <v>3495</v>
      </c>
    </row>
    <row r="456" spans="1:6" ht="15.75" customHeight="1">
      <c r="A456" s="21"/>
      <c r="B456" s="16">
        <v>630</v>
      </c>
      <c r="C456" s="22" t="s">
        <v>393</v>
      </c>
      <c r="D456" s="208">
        <f>D457+D459+D460+D465+D466+D467</f>
        <v>1160</v>
      </c>
      <c r="E456" s="18">
        <f>E457+E459+E460+E465+E466+E467</f>
        <v>1160</v>
      </c>
      <c r="F456" s="18">
        <f>F457+F459+F460+F465+F466+F467</f>
        <v>1198</v>
      </c>
    </row>
    <row r="457" spans="1:6" ht="15.75" customHeight="1" thickBot="1">
      <c r="A457" s="250"/>
      <c r="B457" s="270">
        <v>631</v>
      </c>
      <c r="C457" s="251" t="s">
        <v>492</v>
      </c>
      <c r="D457" s="215">
        <v>60</v>
      </c>
      <c r="E457" s="252">
        <v>60</v>
      </c>
      <c r="F457" s="252">
        <v>54</v>
      </c>
    </row>
    <row r="458" spans="1:6" ht="15.75" customHeight="1" thickBot="1">
      <c r="A458" s="30"/>
      <c r="B458" s="31"/>
      <c r="C458" s="30"/>
      <c r="D458" s="212"/>
      <c r="E458" s="33"/>
      <c r="F458" s="8" t="s">
        <v>753</v>
      </c>
    </row>
    <row r="459" spans="1:6" ht="15.75" customHeight="1">
      <c r="A459" s="247"/>
      <c r="B459" s="248">
        <v>632</v>
      </c>
      <c r="C459" s="266" t="s">
        <v>396</v>
      </c>
      <c r="D459" s="267">
        <v>10</v>
      </c>
      <c r="E459" s="268">
        <v>10</v>
      </c>
      <c r="F459" s="268">
        <v>0</v>
      </c>
    </row>
    <row r="460" spans="1:6" ht="15.75" customHeight="1">
      <c r="A460" s="21"/>
      <c r="B460" s="16">
        <v>633</v>
      </c>
      <c r="C460" s="22" t="s">
        <v>397</v>
      </c>
      <c r="D460" s="208">
        <f>SUM(D461:D464)</f>
        <v>80</v>
      </c>
      <c r="E460" s="18">
        <f>SUM(E461:E464)</f>
        <v>80</v>
      </c>
      <c r="F460" s="18">
        <f>SUM(F461:F464)</f>
        <v>12</v>
      </c>
    </row>
    <row r="461" spans="1:6" ht="15.75" customHeight="1">
      <c r="A461" s="19"/>
      <c r="B461" s="23">
        <v>633002</v>
      </c>
      <c r="C461" s="24" t="s">
        <v>400</v>
      </c>
      <c r="D461" s="209">
        <v>30</v>
      </c>
      <c r="E461" s="25">
        <v>30</v>
      </c>
      <c r="F461" s="25">
        <v>0</v>
      </c>
    </row>
    <row r="462" spans="1:6" ht="15.75" customHeight="1">
      <c r="A462" s="19"/>
      <c r="B462" s="23">
        <v>633004</v>
      </c>
      <c r="C462" s="24" t="s">
        <v>402</v>
      </c>
      <c r="D462" s="209">
        <v>15</v>
      </c>
      <c r="E462" s="25">
        <v>15</v>
      </c>
      <c r="F462" s="25">
        <v>0</v>
      </c>
    </row>
    <row r="463" spans="1:6" ht="15.75" customHeight="1">
      <c r="A463" s="19"/>
      <c r="B463" s="23">
        <v>633006</v>
      </c>
      <c r="C463" s="24" t="s">
        <v>404</v>
      </c>
      <c r="D463" s="209">
        <v>20</v>
      </c>
      <c r="E463" s="25">
        <v>20</v>
      </c>
      <c r="F463" s="25">
        <v>12</v>
      </c>
    </row>
    <row r="464" spans="1:6" ht="15.75" customHeight="1">
      <c r="A464" s="19"/>
      <c r="B464" s="23">
        <v>633010</v>
      </c>
      <c r="C464" s="24" t="s">
        <v>406</v>
      </c>
      <c r="D464" s="209">
        <v>15</v>
      </c>
      <c r="E464" s="25">
        <v>15</v>
      </c>
      <c r="F464" s="25">
        <v>0</v>
      </c>
    </row>
    <row r="465" spans="1:6" ht="15.75" customHeight="1">
      <c r="A465" s="21"/>
      <c r="B465" s="20">
        <v>634</v>
      </c>
      <c r="C465" s="17" t="s">
        <v>410</v>
      </c>
      <c r="D465" s="208">
        <v>300</v>
      </c>
      <c r="E465" s="18">
        <v>300</v>
      </c>
      <c r="F465" s="18">
        <v>268</v>
      </c>
    </row>
    <row r="466" spans="1:6" ht="15.75" customHeight="1">
      <c r="A466" s="21"/>
      <c r="B466" s="16">
        <v>635</v>
      </c>
      <c r="C466" s="22" t="s">
        <v>670</v>
      </c>
      <c r="D466" s="208">
        <v>10</v>
      </c>
      <c r="E466" s="18">
        <v>10</v>
      </c>
      <c r="F466" s="18">
        <v>0</v>
      </c>
    </row>
    <row r="467" spans="1:6" ht="15.75" customHeight="1">
      <c r="A467" s="21"/>
      <c r="B467" s="16">
        <v>637</v>
      </c>
      <c r="C467" s="22" t="s">
        <v>414</v>
      </c>
      <c r="D467" s="208">
        <f>SUM(D468:D472)</f>
        <v>700</v>
      </c>
      <c r="E467" s="18">
        <f>SUM(E468:E472)</f>
        <v>700</v>
      </c>
      <c r="F467" s="18">
        <f>SUM(F468:F472)</f>
        <v>864</v>
      </c>
    </row>
    <row r="468" spans="1:6" ht="15.75" customHeight="1">
      <c r="A468" s="19"/>
      <c r="B468" s="23">
        <v>637004</v>
      </c>
      <c r="C468" s="24" t="s">
        <v>419</v>
      </c>
      <c r="D468" s="209">
        <v>10</v>
      </c>
      <c r="E468" s="25">
        <v>10</v>
      </c>
      <c r="F468" s="25">
        <v>2</v>
      </c>
    </row>
    <row r="469" spans="1:6" ht="15.75" customHeight="1">
      <c r="A469" s="19"/>
      <c r="B469" s="23">
        <v>637012</v>
      </c>
      <c r="C469" s="24" t="s">
        <v>424</v>
      </c>
      <c r="D469" s="209">
        <v>10</v>
      </c>
      <c r="E469" s="25">
        <v>10</v>
      </c>
      <c r="F469" s="25">
        <v>23</v>
      </c>
    </row>
    <row r="470" spans="1:6" ht="15.75" customHeight="1">
      <c r="A470" s="19"/>
      <c r="B470" s="23">
        <v>637014</v>
      </c>
      <c r="C470" s="24" t="s">
        <v>425</v>
      </c>
      <c r="D470" s="209">
        <v>500</v>
      </c>
      <c r="E470" s="25">
        <v>500</v>
      </c>
      <c r="F470" s="25">
        <v>685</v>
      </c>
    </row>
    <row r="471" spans="1:6" ht="15.75" customHeight="1">
      <c r="A471" s="19"/>
      <c r="B471" s="23">
        <v>637016</v>
      </c>
      <c r="C471" s="24" t="s">
        <v>427</v>
      </c>
      <c r="D471" s="209">
        <v>180</v>
      </c>
      <c r="E471" s="25">
        <v>180</v>
      </c>
      <c r="F471" s="25">
        <v>154</v>
      </c>
    </row>
    <row r="472" spans="1:6" ht="15.75" customHeight="1">
      <c r="A472" s="19"/>
      <c r="B472" s="23">
        <v>637027</v>
      </c>
      <c r="C472" s="24" t="s">
        <v>432</v>
      </c>
      <c r="D472" s="209">
        <v>0</v>
      </c>
      <c r="E472" s="25">
        <v>0</v>
      </c>
      <c r="F472" s="25">
        <v>0</v>
      </c>
    </row>
    <row r="473" spans="1:6" ht="15.75" customHeight="1">
      <c r="A473" s="21"/>
      <c r="B473" s="16">
        <v>640</v>
      </c>
      <c r="C473" s="17" t="s">
        <v>435</v>
      </c>
      <c r="D473" s="208">
        <f>SUM(D474:D475)</f>
        <v>35</v>
      </c>
      <c r="E473" s="18">
        <f>SUM(E474:E475)</f>
        <v>35</v>
      </c>
      <c r="F473" s="18">
        <f>SUM(F474:F475)</f>
        <v>44</v>
      </c>
    </row>
    <row r="474" spans="1:6" ht="15.75" customHeight="1">
      <c r="A474" s="19"/>
      <c r="B474" s="23">
        <v>642012</v>
      </c>
      <c r="C474" s="24" t="s">
        <v>493</v>
      </c>
      <c r="D474" s="209">
        <v>15</v>
      </c>
      <c r="E474" s="25">
        <v>15</v>
      </c>
      <c r="F474" s="25">
        <v>18</v>
      </c>
    </row>
    <row r="475" spans="1:6" ht="15.75" customHeight="1">
      <c r="A475" s="19"/>
      <c r="B475" s="23">
        <v>642015</v>
      </c>
      <c r="C475" s="24" t="s">
        <v>440</v>
      </c>
      <c r="D475" s="209">
        <v>20</v>
      </c>
      <c r="E475" s="25">
        <v>20</v>
      </c>
      <c r="F475" s="25">
        <v>26</v>
      </c>
    </row>
    <row r="476" spans="1:6" ht="15.75" customHeight="1">
      <c r="A476" s="38" t="s">
        <v>770</v>
      </c>
      <c r="B476" s="11" t="s">
        <v>730</v>
      </c>
      <c r="C476" s="12"/>
      <c r="D476" s="211">
        <f>SUM(D477+D479)</f>
        <v>1100</v>
      </c>
      <c r="E476" s="14">
        <f>SUM(E477+E479)</f>
        <v>1100</v>
      </c>
      <c r="F476" s="14">
        <f>SUM(F477+F479)</f>
        <v>800</v>
      </c>
    </row>
    <row r="477" spans="1:6" ht="15.75" customHeight="1">
      <c r="A477" s="183"/>
      <c r="B477" s="16">
        <v>637</v>
      </c>
      <c r="C477" s="22" t="s">
        <v>414</v>
      </c>
      <c r="D477" s="210">
        <f>SUM(D478)</f>
        <v>100</v>
      </c>
      <c r="E477" s="184">
        <f>SUM(E478)</f>
        <v>100</v>
      </c>
      <c r="F477" s="184">
        <f>SUM(F478)</f>
        <v>62</v>
      </c>
    </row>
    <row r="478" spans="1:6" ht="15.75" customHeight="1">
      <c r="A478" s="21"/>
      <c r="B478" s="23">
        <v>637005</v>
      </c>
      <c r="C478" s="24" t="s">
        <v>494</v>
      </c>
      <c r="D478" s="209">
        <v>100</v>
      </c>
      <c r="E478" s="25">
        <v>100</v>
      </c>
      <c r="F478" s="25">
        <v>62</v>
      </c>
    </row>
    <row r="479" spans="1:6" ht="15.75" customHeight="1">
      <c r="A479" s="19"/>
      <c r="B479" s="16">
        <v>640</v>
      </c>
      <c r="C479" s="17" t="s">
        <v>435</v>
      </c>
      <c r="D479" s="208">
        <f>SUM(D480)</f>
        <v>1000</v>
      </c>
      <c r="E479" s="18">
        <f>SUM(E480)</f>
        <v>1000</v>
      </c>
      <c r="F479" s="18">
        <f>SUM(F480)</f>
        <v>738</v>
      </c>
    </row>
    <row r="480" spans="1:6" ht="15.75" customHeight="1">
      <c r="A480" s="243"/>
      <c r="B480" s="195">
        <v>642026</v>
      </c>
      <c r="C480" s="196" t="s">
        <v>495</v>
      </c>
      <c r="D480" s="223">
        <v>1000</v>
      </c>
      <c r="E480" s="67">
        <v>1000</v>
      </c>
      <c r="F480" s="67">
        <v>738</v>
      </c>
    </row>
    <row r="481" spans="1:6" ht="15.75" customHeight="1">
      <c r="A481" s="72" t="s">
        <v>731</v>
      </c>
      <c r="B481" s="52" t="s">
        <v>732</v>
      </c>
      <c r="C481" s="46"/>
      <c r="D481" s="211">
        <f aca="true" t="shared" si="9" ref="D481:F482">SUM(D482)</f>
        <v>0</v>
      </c>
      <c r="E481" s="14">
        <f t="shared" si="9"/>
        <v>0</v>
      </c>
      <c r="F481" s="14">
        <f t="shared" si="9"/>
        <v>168</v>
      </c>
    </row>
    <row r="482" spans="1:6" ht="15.75" customHeight="1">
      <c r="A482" s="244"/>
      <c r="B482" s="43">
        <v>640</v>
      </c>
      <c r="C482" s="42" t="s">
        <v>435</v>
      </c>
      <c r="D482" s="245">
        <f t="shared" si="9"/>
        <v>0</v>
      </c>
      <c r="E482" s="246">
        <f t="shared" si="9"/>
        <v>0</v>
      </c>
      <c r="F482" s="246">
        <f t="shared" si="9"/>
        <v>168</v>
      </c>
    </row>
    <row r="483" spans="1:6" ht="15.75" customHeight="1">
      <c r="A483" s="79"/>
      <c r="B483" s="48">
        <v>642001</v>
      </c>
      <c r="C483" s="3" t="s">
        <v>667</v>
      </c>
      <c r="D483" s="209">
        <v>0</v>
      </c>
      <c r="E483" s="25">
        <v>0</v>
      </c>
      <c r="F483" s="25">
        <v>168</v>
      </c>
    </row>
    <row r="484" spans="1:6" ht="15.75" customHeight="1">
      <c r="A484" s="72" t="s">
        <v>733</v>
      </c>
      <c r="B484" s="52" t="s">
        <v>734</v>
      </c>
      <c r="C484" s="46"/>
      <c r="D484" s="211">
        <f aca="true" t="shared" si="10" ref="D484:F485">SUM(D485)</f>
        <v>0</v>
      </c>
      <c r="E484" s="14">
        <f t="shared" si="10"/>
        <v>0</v>
      </c>
      <c r="F484" s="14">
        <f t="shared" si="10"/>
        <v>28</v>
      </c>
    </row>
    <row r="485" spans="1:6" ht="15.75" customHeight="1">
      <c r="A485" s="79"/>
      <c r="B485" s="43">
        <v>640</v>
      </c>
      <c r="C485" s="42" t="s">
        <v>435</v>
      </c>
      <c r="D485" s="209">
        <f t="shared" si="10"/>
        <v>0</v>
      </c>
      <c r="E485" s="25">
        <f t="shared" si="10"/>
        <v>0</v>
      </c>
      <c r="F485" s="25">
        <f t="shared" si="10"/>
        <v>28</v>
      </c>
    </row>
    <row r="486" spans="1:6" ht="15.75" customHeight="1" thickBot="1">
      <c r="A486" s="74"/>
      <c r="B486" s="48">
        <v>642007</v>
      </c>
      <c r="C486" s="3" t="s">
        <v>668</v>
      </c>
      <c r="D486" s="240">
        <v>0</v>
      </c>
      <c r="E486" s="110">
        <v>0</v>
      </c>
      <c r="F486" s="110">
        <v>28</v>
      </c>
    </row>
    <row r="487" spans="1:8" ht="21.75" customHeight="1" thickBot="1">
      <c r="A487" s="306" t="s">
        <v>496</v>
      </c>
      <c r="B487" s="307"/>
      <c r="C487" s="308"/>
      <c r="D487" s="309">
        <f>SUM(D6+D57+D80+D90+D108+D112+D130+D145+D148+D160+D184+D226+D245+D260+D265+D268+D273+D279+D281+D284+D293+D296+D299+D306+D313+D322+D323+D346+D349+D352+D363+D375+D378+D401+D405+D414+D417+D420+D423+D424+D426+D453+D476+D481+D484)</f>
        <v>1322669</v>
      </c>
      <c r="E487" s="284">
        <f>E476+E453+E426+E420+E417+E414+E405+E401+E378+E375+E363+E352+E349+E346+E323+E313+E306+E299+E296+E293+E284+E281+E279+E273+E268+E265+E260+E245+E226+E184+E160+E148+E145+E130+E112+E108+E90+E80+E57+E6</f>
        <v>1412679</v>
      </c>
      <c r="F487" s="284">
        <f>SUM(F6+F57+F80+F90+F108+F112+F130+F145+F148+F160+F184+F226+F245+F260+F265+F268+F273+F279+F281+F284+F291+F293+F296+F299+F306+F313+F322+F323+F346+F349+F352+F363+F375+F378+F401+F405+F414+F417+F420+F423+F424+F426+F453+F476+F481+F484)</f>
        <v>1551473</v>
      </c>
      <c r="H487" s="51">
        <f>D57+D80+D90+D108+D112+D130+D145+D148+D160+D184+D226+D245+D260+D265+D268+D273+D279+D281+D284+D293+D296+D299+D306+D313+D322+D323+D346+D349+D352+D363+D375+D378+D401+D405+D414+D417+D420+D423+D424+D426+D453+D476+D481+D484</f>
        <v>1230483</v>
      </c>
    </row>
    <row r="488" spans="1:7" ht="21.75" customHeight="1" thickBot="1">
      <c r="A488" s="57"/>
      <c r="B488" s="2"/>
      <c r="C488" s="32"/>
      <c r="D488" s="212"/>
      <c r="E488" s="33"/>
      <c r="F488" s="33"/>
      <c r="G488" s="51"/>
    </row>
    <row r="489" spans="1:6" ht="51.75" customHeight="1" thickBot="1">
      <c r="A489" s="305" t="s">
        <v>497</v>
      </c>
      <c r="B489" s="291"/>
      <c r="C489" s="302"/>
      <c r="D489" s="289" t="s">
        <v>388</v>
      </c>
      <c r="E489" s="282" t="s">
        <v>390</v>
      </c>
      <c r="F489" s="282" t="s">
        <v>649</v>
      </c>
    </row>
    <row r="490" spans="1:6" ht="15.75" customHeight="1">
      <c r="A490" s="58" t="s">
        <v>771</v>
      </c>
      <c r="B490" s="59" t="s">
        <v>498</v>
      </c>
      <c r="C490" s="60"/>
      <c r="D490" s="207">
        <f>SUM(D491:D504)</f>
        <v>7814</v>
      </c>
      <c r="E490" s="13">
        <f>SUM(E491:E504)</f>
        <v>267039</v>
      </c>
      <c r="F490" s="13">
        <f>SUM(F491:F504)</f>
        <v>268514</v>
      </c>
    </row>
    <row r="491" spans="1:6" ht="15.75" customHeight="1">
      <c r="A491" s="61"/>
      <c r="B491" s="62">
        <v>711001</v>
      </c>
      <c r="C491" s="63" t="s">
        <v>499</v>
      </c>
      <c r="D491" s="209">
        <v>1400</v>
      </c>
      <c r="E491" s="25">
        <f>58316+103343+83773</f>
        <v>245432</v>
      </c>
      <c r="F491" s="25">
        <v>245456</v>
      </c>
    </row>
    <row r="492" spans="1:6" ht="15.75" customHeight="1">
      <c r="A492" s="61"/>
      <c r="B492" s="62">
        <v>711003</v>
      </c>
      <c r="C492" s="63" t="s">
        <v>500</v>
      </c>
      <c r="D492" s="209">
        <v>500</v>
      </c>
      <c r="E492" s="25">
        <v>1900</v>
      </c>
      <c r="F492" s="25">
        <v>1648</v>
      </c>
    </row>
    <row r="493" spans="1:6" ht="15.75" customHeight="1">
      <c r="A493" s="61"/>
      <c r="B493" s="62">
        <v>711004</v>
      </c>
      <c r="C493" s="63" t="s">
        <v>501</v>
      </c>
      <c r="D493" s="209">
        <v>1000</v>
      </c>
      <c r="E493" s="25">
        <f>100+1600-1600</f>
        <v>100</v>
      </c>
      <c r="F493" s="25">
        <v>0</v>
      </c>
    </row>
    <row r="494" spans="1:6" ht="15.75" customHeight="1">
      <c r="A494" s="61"/>
      <c r="B494" s="62">
        <v>713001</v>
      </c>
      <c r="C494" s="63" t="s">
        <v>502</v>
      </c>
      <c r="D494" s="209">
        <v>200</v>
      </c>
      <c r="E494" s="25">
        <v>200</v>
      </c>
      <c r="F494" s="25">
        <v>0</v>
      </c>
    </row>
    <row r="495" spans="1:6" ht="15.75" customHeight="1">
      <c r="A495" s="61"/>
      <c r="B495" s="62">
        <v>713002</v>
      </c>
      <c r="C495" s="63" t="s">
        <v>503</v>
      </c>
      <c r="D495" s="209">
        <v>200</v>
      </c>
      <c r="E495" s="25">
        <v>500</v>
      </c>
      <c r="F495" s="25">
        <v>200</v>
      </c>
    </row>
    <row r="496" spans="1:6" ht="15.75" customHeight="1">
      <c r="A496" s="61"/>
      <c r="B496" s="62">
        <v>713003</v>
      </c>
      <c r="C496" s="63" t="s">
        <v>504</v>
      </c>
      <c r="D496" s="209">
        <v>200</v>
      </c>
      <c r="E496" s="25">
        <v>200</v>
      </c>
      <c r="F496" s="25">
        <v>154</v>
      </c>
    </row>
    <row r="497" spans="1:6" ht="15.75" customHeight="1">
      <c r="A497" s="61"/>
      <c r="B497" s="62">
        <v>713004</v>
      </c>
      <c r="C497" s="63" t="s">
        <v>505</v>
      </c>
      <c r="D497" s="209">
        <v>200</v>
      </c>
      <c r="E497" s="25">
        <v>200</v>
      </c>
      <c r="F497" s="25">
        <v>164</v>
      </c>
    </row>
    <row r="498" spans="1:6" ht="15.75" customHeight="1">
      <c r="A498" s="64"/>
      <c r="B498" s="65">
        <v>713005</v>
      </c>
      <c r="C498" s="66" t="s">
        <v>512</v>
      </c>
      <c r="D498" s="223">
        <v>0</v>
      </c>
      <c r="E498" s="67">
        <v>0</v>
      </c>
      <c r="F498" s="67">
        <v>494</v>
      </c>
    </row>
    <row r="499" spans="1:6" ht="15.75" customHeight="1">
      <c r="A499" s="194"/>
      <c r="B499" s="195">
        <v>716</v>
      </c>
      <c r="C499" s="196" t="s">
        <v>510</v>
      </c>
      <c r="D499" s="209">
        <v>0</v>
      </c>
      <c r="E499" s="25">
        <v>393</v>
      </c>
      <c r="F499" s="25">
        <v>542</v>
      </c>
    </row>
    <row r="500" spans="1:6" ht="15.75" customHeight="1">
      <c r="A500" s="64"/>
      <c r="B500" s="65">
        <v>717001</v>
      </c>
      <c r="C500" s="66" t="s">
        <v>506</v>
      </c>
      <c r="D500" s="223"/>
      <c r="E500" s="67">
        <v>230</v>
      </c>
      <c r="F500" s="67">
        <v>478</v>
      </c>
    </row>
    <row r="501" spans="1:6" ht="15.75" customHeight="1">
      <c r="A501" s="64"/>
      <c r="B501" s="68">
        <v>717002</v>
      </c>
      <c r="C501" s="66" t="s">
        <v>507</v>
      </c>
      <c r="D501" s="223">
        <v>3500</v>
      </c>
      <c r="E501" s="67">
        <v>0</v>
      </c>
      <c r="F501" s="67">
        <v>2378</v>
      </c>
    </row>
    <row r="502" spans="1:6" ht="15.75" customHeight="1">
      <c r="A502" s="69"/>
      <c r="B502" s="23">
        <v>718002</v>
      </c>
      <c r="C502" s="24" t="s">
        <v>508</v>
      </c>
      <c r="D502" s="209">
        <v>100</v>
      </c>
      <c r="E502" s="25">
        <v>100</v>
      </c>
      <c r="F502" s="25">
        <v>0</v>
      </c>
    </row>
    <row r="503" spans="1:6" ht="15.75" customHeight="1">
      <c r="A503" s="70"/>
      <c r="B503" s="35">
        <v>718004</v>
      </c>
      <c r="C503" s="36" t="s">
        <v>509</v>
      </c>
      <c r="D503" s="213">
        <v>514</v>
      </c>
      <c r="E503" s="37">
        <f>284+500</f>
        <v>784</v>
      </c>
      <c r="F503" s="37">
        <v>0</v>
      </c>
    </row>
    <row r="504" spans="1:6" ht="15.75" customHeight="1">
      <c r="A504" s="64"/>
      <c r="B504" s="65">
        <v>723001</v>
      </c>
      <c r="C504" s="66" t="s">
        <v>629</v>
      </c>
      <c r="D504" s="223">
        <v>0</v>
      </c>
      <c r="E504" s="67">
        <v>17000</v>
      </c>
      <c r="F504" s="67">
        <v>17000</v>
      </c>
    </row>
    <row r="505" spans="1:6" ht="15.75" customHeight="1">
      <c r="A505" s="72" t="s">
        <v>628</v>
      </c>
      <c r="B505" s="11" t="s">
        <v>459</v>
      </c>
      <c r="C505" s="12"/>
      <c r="D505" s="211">
        <f>SUM(D506:D509)</f>
        <v>6100</v>
      </c>
      <c r="E505" s="14">
        <f>SUM(E506:E509)</f>
        <v>3950</v>
      </c>
      <c r="F505" s="14">
        <f>SUM(F506:F509)</f>
        <v>3805</v>
      </c>
    </row>
    <row r="506" spans="1:6" ht="15.75" customHeight="1">
      <c r="A506" s="69"/>
      <c r="B506" s="48">
        <v>711003</v>
      </c>
      <c r="C506" s="63" t="s">
        <v>500</v>
      </c>
      <c r="D506" s="209">
        <v>4000</v>
      </c>
      <c r="E506" s="25">
        <f>1500-150</f>
        <v>1350</v>
      </c>
      <c r="F506" s="25">
        <v>999</v>
      </c>
    </row>
    <row r="507" spans="1:6" ht="15.75" customHeight="1">
      <c r="A507" s="69"/>
      <c r="B507" s="62">
        <v>713002</v>
      </c>
      <c r="C507" s="63" t="s">
        <v>503</v>
      </c>
      <c r="D507" s="209">
        <v>40</v>
      </c>
      <c r="E507" s="25">
        <v>100</v>
      </c>
      <c r="F507" s="25">
        <v>157</v>
      </c>
    </row>
    <row r="508" spans="1:6" ht="15.75" customHeight="1">
      <c r="A508" s="69"/>
      <c r="B508" s="62">
        <v>713003</v>
      </c>
      <c r="C508" s="63" t="s">
        <v>504</v>
      </c>
      <c r="D508" s="209">
        <v>60</v>
      </c>
      <c r="E508" s="25">
        <v>500</v>
      </c>
      <c r="F508" s="25">
        <v>715</v>
      </c>
    </row>
    <row r="509" spans="1:6" ht="15.75" customHeight="1">
      <c r="A509" s="70"/>
      <c r="B509" s="35">
        <v>714001</v>
      </c>
      <c r="C509" s="36" t="s">
        <v>511</v>
      </c>
      <c r="D509" s="209">
        <v>2000</v>
      </c>
      <c r="E509" s="25">
        <f>4000-2000</f>
        <v>2000</v>
      </c>
      <c r="F509" s="25">
        <v>1934</v>
      </c>
    </row>
    <row r="510" spans="1:6" ht="15.75" customHeight="1">
      <c r="A510" s="72" t="s">
        <v>738</v>
      </c>
      <c r="B510" s="11" t="s">
        <v>687</v>
      </c>
      <c r="C510" s="12"/>
      <c r="D510" s="211">
        <f>SUM(D511)</f>
        <v>0</v>
      </c>
      <c r="E510" s="14">
        <f>SUM(E511)</f>
        <v>95</v>
      </c>
      <c r="F510" s="14">
        <f>SUM(F511)</f>
        <v>95</v>
      </c>
    </row>
    <row r="511" spans="1:6" ht="15.75" customHeight="1">
      <c r="A511" s="69"/>
      <c r="B511" s="195">
        <v>713005</v>
      </c>
      <c r="C511" s="24" t="s">
        <v>512</v>
      </c>
      <c r="D511" s="209">
        <v>0</v>
      </c>
      <c r="E511" s="25">
        <v>95</v>
      </c>
      <c r="F511" s="25">
        <v>95</v>
      </c>
    </row>
    <row r="512" spans="1:6" ht="15.75" customHeight="1">
      <c r="A512" s="72" t="s">
        <v>772</v>
      </c>
      <c r="B512" s="52" t="s">
        <v>513</v>
      </c>
      <c r="C512" s="73"/>
      <c r="D512" s="211">
        <f>SUM(D513)</f>
        <v>0</v>
      </c>
      <c r="E512" s="14">
        <f>SUM(E513)</f>
        <v>600</v>
      </c>
      <c r="F512" s="14">
        <f>SUM(F513)</f>
        <v>594</v>
      </c>
    </row>
    <row r="513" spans="1:6" ht="15.75" customHeight="1">
      <c r="A513" s="74"/>
      <c r="B513" s="35">
        <v>717</v>
      </c>
      <c r="C513" s="24" t="s">
        <v>514</v>
      </c>
      <c r="D513" s="209">
        <v>0</v>
      </c>
      <c r="E513" s="25">
        <v>600</v>
      </c>
      <c r="F513" s="25">
        <v>594</v>
      </c>
    </row>
    <row r="514" spans="1:6" ht="15.75" customHeight="1">
      <c r="A514" s="72" t="s">
        <v>739</v>
      </c>
      <c r="B514" s="11" t="s">
        <v>696</v>
      </c>
      <c r="C514" s="46"/>
      <c r="D514" s="211">
        <f>SUM(D515:D516)</f>
        <v>12000</v>
      </c>
      <c r="E514" s="211">
        <f>SUM(E515:E516)</f>
        <v>50698</v>
      </c>
      <c r="F514" s="211">
        <f>SUM(F515:F516)</f>
        <v>17095</v>
      </c>
    </row>
    <row r="515" spans="1:6" ht="15.75" customHeight="1">
      <c r="A515" s="230"/>
      <c r="B515" s="195">
        <v>717</v>
      </c>
      <c r="C515" s="24" t="s">
        <v>514</v>
      </c>
      <c r="D515" s="223">
        <v>0</v>
      </c>
      <c r="E515" s="67">
        <f>11019+760</f>
        <v>11779</v>
      </c>
      <c r="F515" s="67">
        <v>5095</v>
      </c>
    </row>
    <row r="516" spans="1:6" ht="15.75" customHeight="1">
      <c r="A516" s="69"/>
      <c r="B516" s="23">
        <v>723002</v>
      </c>
      <c r="C516" s="24" t="s">
        <v>515</v>
      </c>
      <c r="D516" s="223">
        <v>12000</v>
      </c>
      <c r="E516" s="67">
        <f>12000+6285+634+20000</f>
        <v>38919</v>
      </c>
      <c r="F516" s="67">
        <v>12000</v>
      </c>
    </row>
    <row r="517" spans="1:6" ht="15.75" customHeight="1">
      <c r="A517" s="72" t="s">
        <v>663</v>
      </c>
      <c r="B517" s="52" t="s">
        <v>664</v>
      </c>
      <c r="C517" s="12"/>
      <c r="D517" s="224">
        <f>SUM(D518)</f>
        <v>0</v>
      </c>
      <c r="E517" s="75">
        <f>SUM(E518)</f>
        <v>0</v>
      </c>
      <c r="F517" s="75">
        <f>SUM(F518)</f>
        <v>3341</v>
      </c>
    </row>
    <row r="518" spans="1:6" ht="15.75" customHeight="1">
      <c r="A518" s="69"/>
      <c r="B518" s="48">
        <v>717</v>
      </c>
      <c r="C518" s="24" t="s">
        <v>514</v>
      </c>
      <c r="D518" s="223">
        <v>0</v>
      </c>
      <c r="E518" s="67">
        <v>0</v>
      </c>
      <c r="F518" s="67">
        <v>3341</v>
      </c>
    </row>
    <row r="519" spans="1:6" ht="15.75" customHeight="1">
      <c r="A519" s="72" t="s">
        <v>516</v>
      </c>
      <c r="B519" s="52" t="s">
        <v>517</v>
      </c>
      <c r="C519" s="12"/>
      <c r="D519" s="224">
        <f>SUM(D520)</f>
        <v>0</v>
      </c>
      <c r="E519" s="75">
        <f>SUM(E520)</f>
        <v>11000</v>
      </c>
      <c r="F519" s="75">
        <f>SUM(F520)</f>
        <v>10279</v>
      </c>
    </row>
    <row r="520" spans="1:6" ht="15.75" customHeight="1" thickBot="1">
      <c r="A520" s="76"/>
      <c r="B520" s="198">
        <v>717</v>
      </c>
      <c r="C520" s="77" t="s">
        <v>514</v>
      </c>
      <c r="D520" s="225">
        <v>0</v>
      </c>
      <c r="E520" s="78">
        <v>11000</v>
      </c>
      <c r="F520" s="78">
        <v>10279</v>
      </c>
    </row>
    <row r="521" spans="1:6" ht="15.75" customHeight="1" thickBot="1">
      <c r="A521" s="600"/>
      <c r="B521" s="48"/>
      <c r="C521" s="3"/>
      <c r="D521" s="205"/>
      <c r="E521" s="4"/>
      <c r="F521" s="8" t="s">
        <v>754</v>
      </c>
    </row>
    <row r="522" spans="1:6" ht="15.75" customHeight="1">
      <c r="A522" s="199" t="s">
        <v>518</v>
      </c>
      <c r="B522" s="271" t="s">
        <v>519</v>
      </c>
      <c r="C522" s="200"/>
      <c r="D522" s="226">
        <f>SUM(D523)</f>
        <v>0</v>
      </c>
      <c r="E522" s="116">
        <f>SUM(E523)</f>
        <v>0</v>
      </c>
      <c r="F522" s="116">
        <f>SUM(F523)</f>
        <v>986</v>
      </c>
    </row>
    <row r="523" spans="1:6" ht="15.75" customHeight="1">
      <c r="A523" s="194"/>
      <c r="B523" s="48">
        <v>717</v>
      </c>
      <c r="C523" s="196" t="s">
        <v>514</v>
      </c>
      <c r="D523" s="223">
        <v>0</v>
      </c>
      <c r="E523" s="67">
        <v>0</v>
      </c>
      <c r="F523" s="67">
        <v>986</v>
      </c>
    </row>
    <row r="524" spans="1:6" ht="15.75" customHeight="1">
      <c r="A524" s="72" t="s">
        <v>520</v>
      </c>
      <c r="B524" s="52" t="s">
        <v>521</v>
      </c>
      <c r="C524" s="12"/>
      <c r="D524" s="211">
        <f>SUM(D525)</f>
        <v>0</v>
      </c>
      <c r="E524" s="14">
        <f>SUM(E525)</f>
        <v>175166</v>
      </c>
      <c r="F524" s="14">
        <f>SUM(F525)</f>
        <v>145755</v>
      </c>
    </row>
    <row r="525" spans="1:6" ht="15.75" customHeight="1">
      <c r="A525" s="69"/>
      <c r="B525" s="48">
        <v>717</v>
      </c>
      <c r="C525" s="24" t="s">
        <v>514</v>
      </c>
      <c r="D525" s="209">
        <v>0</v>
      </c>
      <c r="E525" s="18">
        <v>175166</v>
      </c>
      <c r="F525" s="18">
        <v>145755</v>
      </c>
    </row>
    <row r="526" spans="1:6" ht="15.75" customHeight="1">
      <c r="A526" s="72" t="s">
        <v>522</v>
      </c>
      <c r="B526" s="52" t="s">
        <v>523</v>
      </c>
      <c r="C526" s="12"/>
      <c r="D526" s="224">
        <f>SUM(D527)</f>
        <v>0</v>
      </c>
      <c r="E526" s="75">
        <f>SUM(E527)</f>
        <v>3366</v>
      </c>
      <c r="F526" s="75">
        <f>SUM(F527)</f>
        <v>333</v>
      </c>
    </row>
    <row r="527" spans="1:6" ht="15.75" customHeight="1">
      <c r="A527" s="69"/>
      <c r="B527" s="48">
        <v>717</v>
      </c>
      <c r="C527" s="24" t="s">
        <v>514</v>
      </c>
      <c r="D527" s="223">
        <v>0</v>
      </c>
      <c r="E527" s="67">
        <v>3366</v>
      </c>
      <c r="F527" s="67">
        <v>333</v>
      </c>
    </row>
    <row r="528" spans="1:6" ht="15.75" customHeight="1">
      <c r="A528" s="72" t="s">
        <v>524</v>
      </c>
      <c r="B528" s="52" t="s">
        <v>525</v>
      </c>
      <c r="C528" s="12"/>
      <c r="D528" s="224">
        <f>SUM(D529)</f>
        <v>0</v>
      </c>
      <c r="E528" s="75">
        <f>SUM(E529)</f>
        <v>700</v>
      </c>
      <c r="F528" s="75">
        <f>SUM(F529)</f>
        <v>1723</v>
      </c>
    </row>
    <row r="529" spans="1:6" ht="15.75" customHeight="1">
      <c r="A529" s="71"/>
      <c r="B529" s="35">
        <v>717</v>
      </c>
      <c r="C529" s="24" t="s">
        <v>514</v>
      </c>
      <c r="D529" s="223">
        <v>0</v>
      </c>
      <c r="E529" s="67">
        <v>700</v>
      </c>
      <c r="F529" s="67">
        <v>1723</v>
      </c>
    </row>
    <row r="530" spans="1:6" ht="15.75" customHeight="1">
      <c r="A530" s="72" t="s">
        <v>526</v>
      </c>
      <c r="B530" s="59" t="s">
        <v>527</v>
      </c>
      <c r="C530" s="12"/>
      <c r="D530" s="211">
        <f>SUM(D531:D532)</f>
        <v>200</v>
      </c>
      <c r="E530" s="211">
        <f>SUM(E531:E532)</f>
        <v>5530</v>
      </c>
      <c r="F530" s="211">
        <f>SUM(F531:F532)</f>
        <v>5330</v>
      </c>
    </row>
    <row r="531" spans="1:6" ht="15.75" customHeight="1">
      <c r="A531" s="230"/>
      <c r="B531" s="195">
        <v>71</v>
      </c>
      <c r="C531" s="3" t="str">
        <f>C515</f>
        <v>Investície ( stavby)</v>
      </c>
      <c r="D531" s="223">
        <v>0</v>
      </c>
      <c r="E531" s="67">
        <v>5330</v>
      </c>
      <c r="F531" s="67">
        <v>5330</v>
      </c>
    </row>
    <row r="532" spans="1:6" ht="15.75" customHeight="1">
      <c r="A532" s="69"/>
      <c r="B532" s="23">
        <v>721001</v>
      </c>
      <c r="C532" s="50" t="s">
        <v>528</v>
      </c>
      <c r="D532" s="223">
        <v>200</v>
      </c>
      <c r="E532" s="67">
        <v>200</v>
      </c>
      <c r="F532" s="67">
        <v>0</v>
      </c>
    </row>
    <row r="533" spans="1:6" ht="15.75" customHeight="1">
      <c r="A533" s="72" t="s">
        <v>529</v>
      </c>
      <c r="B533" s="11" t="s">
        <v>530</v>
      </c>
      <c r="C533" s="12"/>
      <c r="D533" s="211">
        <f>SUM(D534)</f>
        <v>0</v>
      </c>
      <c r="E533" s="14">
        <f>SUM(E534)</f>
        <v>2000</v>
      </c>
      <c r="F533" s="14">
        <f>SUM(F534)</f>
        <v>1654</v>
      </c>
    </row>
    <row r="534" spans="1:6" ht="15.75" customHeight="1">
      <c r="A534" s="71"/>
      <c r="B534" s="48">
        <v>717</v>
      </c>
      <c r="C534" s="3" t="str">
        <f>C531</f>
        <v>Investície ( stavby)</v>
      </c>
      <c r="D534" s="223">
        <v>0</v>
      </c>
      <c r="E534" s="67">
        <v>2000</v>
      </c>
      <c r="F534" s="67">
        <v>1654</v>
      </c>
    </row>
    <row r="535" spans="1:6" ht="15.75" customHeight="1">
      <c r="A535" s="72" t="s">
        <v>773</v>
      </c>
      <c r="B535" s="52" t="s">
        <v>531</v>
      </c>
      <c r="C535" s="12"/>
      <c r="D535" s="211">
        <f>SUM(D536:D537)</f>
        <v>500</v>
      </c>
      <c r="E535" s="211">
        <f>SUM(E536:E537)</f>
        <v>905</v>
      </c>
      <c r="F535" s="211">
        <f>SUM(F536:F537)</f>
        <v>405</v>
      </c>
    </row>
    <row r="536" spans="1:6" ht="15.75" customHeight="1">
      <c r="A536" s="244"/>
      <c r="B536" s="195">
        <v>717</v>
      </c>
      <c r="C536" s="3" t="str">
        <f>C534</f>
        <v>Investície ( stavby)</v>
      </c>
      <c r="D536" s="209">
        <v>0</v>
      </c>
      <c r="E536" s="25">
        <v>405</v>
      </c>
      <c r="F536" s="25">
        <v>405</v>
      </c>
    </row>
    <row r="537" spans="1:6" ht="15.75" customHeight="1">
      <c r="A537" s="61"/>
      <c r="B537" s="23">
        <v>721001</v>
      </c>
      <c r="C537" s="50" t="s">
        <v>532</v>
      </c>
      <c r="D537" s="209">
        <v>500</v>
      </c>
      <c r="E537" s="25">
        <v>500</v>
      </c>
      <c r="F537" s="25">
        <v>0</v>
      </c>
    </row>
    <row r="538" spans="1:6" ht="15.75" customHeight="1">
      <c r="A538" s="72" t="s">
        <v>533</v>
      </c>
      <c r="B538" s="52" t="s">
        <v>534</v>
      </c>
      <c r="C538" s="12"/>
      <c r="D538" s="211">
        <f>SUM(D539)</f>
        <v>0</v>
      </c>
      <c r="E538" s="14">
        <f>SUM(E539)</f>
        <v>5532</v>
      </c>
      <c r="F538" s="14">
        <f>SUM(F539)</f>
        <v>3553</v>
      </c>
    </row>
    <row r="539" spans="1:6" ht="15.75" customHeight="1">
      <c r="A539" s="71"/>
      <c r="B539" s="48">
        <f>B536</f>
        <v>717</v>
      </c>
      <c r="C539" s="3" t="str">
        <f>C536</f>
        <v>Investície ( stavby)</v>
      </c>
      <c r="D539" s="209">
        <v>0</v>
      </c>
      <c r="E539" s="25">
        <v>5532</v>
      </c>
      <c r="F539" s="25">
        <v>3553</v>
      </c>
    </row>
    <row r="540" spans="1:6" ht="15.75" customHeight="1">
      <c r="A540" s="72" t="s">
        <v>774</v>
      </c>
      <c r="B540" s="52" t="s">
        <v>535</v>
      </c>
      <c r="C540" s="12"/>
      <c r="D540" s="211">
        <f>SUM(D541)</f>
        <v>0</v>
      </c>
      <c r="E540" s="14">
        <f>SUM(E541)</f>
        <v>1423</v>
      </c>
      <c r="F540" s="14">
        <f>SUM(F541)</f>
        <v>1423</v>
      </c>
    </row>
    <row r="541" spans="1:6" ht="15.75" customHeight="1">
      <c r="A541" s="79"/>
      <c r="B541" s="48">
        <f>B539</f>
        <v>717</v>
      </c>
      <c r="C541" s="24" t="str">
        <f>C539</f>
        <v>Investície ( stavby)</v>
      </c>
      <c r="D541" s="209">
        <v>0</v>
      </c>
      <c r="E541" s="25">
        <v>1423</v>
      </c>
      <c r="F541" s="25">
        <v>1423</v>
      </c>
    </row>
    <row r="542" spans="1:6" ht="15.75" customHeight="1">
      <c r="A542" s="72" t="s">
        <v>740</v>
      </c>
      <c r="B542" s="11" t="s">
        <v>536</v>
      </c>
      <c r="C542" s="12"/>
      <c r="D542" s="211">
        <f>SUM(D543)</f>
        <v>500</v>
      </c>
      <c r="E542" s="14">
        <f>SUM(E543)</f>
        <v>600</v>
      </c>
      <c r="F542" s="14">
        <f>SUM(F543)</f>
        <v>0</v>
      </c>
    </row>
    <row r="543" spans="1:6" ht="15.75" customHeight="1">
      <c r="A543" s="64"/>
      <c r="B543" s="48">
        <v>713004</v>
      </c>
      <c r="C543" s="63" t="s">
        <v>537</v>
      </c>
      <c r="D543" s="223">
        <v>500</v>
      </c>
      <c r="E543" s="67">
        <v>600</v>
      </c>
      <c r="F543" s="67">
        <v>0</v>
      </c>
    </row>
    <row r="544" spans="1:6" ht="15.75" customHeight="1">
      <c r="A544" s="72" t="s">
        <v>538</v>
      </c>
      <c r="B544" s="11" t="s">
        <v>539</v>
      </c>
      <c r="C544" s="12"/>
      <c r="D544" s="211">
        <f>SUM(D545:D546)</f>
        <v>300</v>
      </c>
      <c r="E544" s="14">
        <f>SUM(E545:E546)</f>
        <v>7400</v>
      </c>
      <c r="F544" s="14">
        <f>SUM(F545:F546)</f>
        <v>12063</v>
      </c>
    </row>
    <row r="545" spans="1:6" ht="15.75" customHeight="1">
      <c r="A545" s="69"/>
      <c r="B545" s="35">
        <v>713004</v>
      </c>
      <c r="C545" s="63" t="s">
        <v>537</v>
      </c>
      <c r="D545" s="223">
        <v>300</v>
      </c>
      <c r="E545" s="67">
        <v>400</v>
      </c>
      <c r="F545" s="67">
        <v>228</v>
      </c>
    </row>
    <row r="546" spans="1:6" ht="15.75" customHeight="1">
      <c r="A546" s="71"/>
      <c r="B546" s="48">
        <v>717</v>
      </c>
      <c r="C546" s="24" t="str">
        <f>C541</f>
        <v>Investície ( stavby)</v>
      </c>
      <c r="D546" s="223"/>
      <c r="E546" s="67">
        <v>7000</v>
      </c>
      <c r="F546" s="67">
        <f>48+11787</f>
        <v>11835</v>
      </c>
    </row>
    <row r="547" spans="1:6" ht="15.75" customHeight="1">
      <c r="A547" s="72" t="s">
        <v>540</v>
      </c>
      <c r="B547" s="11" t="s">
        <v>541</v>
      </c>
      <c r="C547" s="12"/>
      <c r="D547" s="211">
        <f>SUM(D548)</f>
        <v>4704</v>
      </c>
      <c r="E547" s="14">
        <f>SUM(E548)</f>
        <v>6128</v>
      </c>
      <c r="F547" s="14">
        <f>SUM(F548)</f>
        <v>2031</v>
      </c>
    </row>
    <row r="548" spans="1:6" ht="15.75" customHeight="1">
      <c r="A548" s="70"/>
      <c r="B548" s="48">
        <v>721002</v>
      </c>
      <c r="C548" s="36" t="s">
        <v>542</v>
      </c>
      <c r="D548" s="223">
        <v>4704</v>
      </c>
      <c r="E548" s="67">
        <f>D548-E555+2000</f>
        <v>6128</v>
      </c>
      <c r="F548" s="67">
        <v>2031</v>
      </c>
    </row>
    <row r="549" spans="1:6" ht="15.75" customHeight="1">
      <c r="A549" s="72" t="s">
        <v>741</v>
      </c>
      <c r="B549" s="11" t="s">
        <v>543</v>
      </c>
      <c r="C549" s="12"/>
      <c r="D549" s="211">
        <f>SUM(D550:D554)</f>
        <v>3250</v>
      </c>
      <c r="E549" s="14">
        <f>SUM(E550:E554)</f>
        <v>3250</v>
      </c>
      <c r="F549" s="14">
        <f>SUM(F550:F554)</f>
        <v>15589</v>
      </c>
    </row>
    <row r="550" spans="1:6" s="202" customFormat="1" ht="15.75" customHeight="1">
      <c r="A550" s="201"/>
      <c r="B550" s="203">
        <v>717001</v>
      </c>
      <c r="C550" s="190" t="s">
        <v>672</v>
      </c>
      <c r="D550" s="218">
        <v>0</v>
      </c>
      <c r="E550" s="191">
        <v>0</v>
      </c>
      <c r="F550" s="191">
        <v>1263</v>
      </c>
    </row>
    <row r="551" spans="1:6" ht="15.75" customHeight="1">
      <c r="A551" s="69"/>
      <c r="B551" s="35">
        <v>721002</v>
      </c>
      <c r="C551" s="24" t="s">
        <v>673</v>
      </c>
      <c r="D551" s="209">
        <v>3250</v>
      </c>
      <c r="E551" s="25">
        <v>3250</v>
      </c>
      <c r="F551" s="25">
        <v>3923</v>
      </c>
    </row>
    <row r="552" spans="1:6" ht="15.75" customHeight="1">
      <c r="A552" s="70"/>
      <c r="B552" s="35">
        <v>721002</v>
      </c>
      <c r="C552" s="36" t="s">
        <v>674</v>
      </c>
      <c r="D552" s="213">
        <v>0</v>
      </c>
      <c r="E552" s="37">
        <v>0</v>
      </c>
      <c r="F552" s="37">
        <v>500</v>
      </c>
    </row>
    <row r="553" spans="1:6" ht="15.75" customHeight="1">
      <c r="A553" s="70"/>
      <c r="B553" s="35">
        <v>721002</v>
      </c>
      <c r="C553" s="36" t="s">
        <v>675</v>
      </c>
      <c r="D553" s="213">
        <v>0</v>
      </c>
      <c r="E553" s="37">
        <v>0</v>
      </c>
      <c r="F553" s="37">
        <v>5000</v>
      </c>
    </row>
    <row r="554" spans="1:6" ht="15.75" customHeight="1">
      <c r="A554" s="70"/>
      <c r="B554" s="35">
        <v>721002</v>
      </c>
      <c r="C554" s="36" t="s">
        <v>676</v>
      </c>
      <c r="D554" s="213">
        <v>0</v>
      </c>
      <c r="E554" s="37">
        <v>0</v>
      </c>
      <c r="F554" s="37">
        <v>4903</v>
      </c>
    </row>
    <row r="555" spans="1:6" ht="15.75" customHeight="1">
      <c r="A555" s="58" t="s">
        <v>735</v>
      </c>
      <c r="B555" s="59" t="s">
        <v>736</v>
      </c>
      <c r="C555" s="80"/>
      <c r="D555" s="214">
        <f>SUM(D556)</f>
        <v>0</v>
      </c>
      <c r="E555" s="39">
        <f>SUM(E556)</f>
        <v>576</v>
      </c>
      <c r="F555" s="39">
        <f>SUM(F556)</f>
        <v>791</v>
      </c>
    </row>
    <row r="556" spans="1:6" ht="15.75" customHeight="1">
      <c r="A556" s="69"/>
      <c r="B556" s="23">
        <v>721002</v>
      </c>
      <c r="C556" s="24" t="s">
        <v>544</v>
      </c>
      <c r="D556" s="209">
        <v>0</v>
      </c>
      <c r="E556" s="25">
        <v>576</v>
      </c>
      <c r="F556" s="25">
        <v>791</v>
      </c>
    </row>
    <row r="557" spans="1:6" ht="15.75" customHeight="1">
      <c r="A557" s="72" t="s">
        <v>742</v>
      </c>
      <c r="B557" s="11" t="s">
        <v>722</v>
      </c>
      <c r="C557" s="46"/>
      <c r="D557" s="211">
        <f>SUM(D558)</f>
        <v>0</v>
      </c>
      <c r="E557" s="14">
        <f>SUM(E558)</f>
        <v>147</v>
      </c>
      <c r="F557" s="14">
        <f>SUM(F558)</f>
        <v>147</v>
      </c>
    </row>
    <row r="558" spans="1:7" ht="15.75" customHeight="1" thickBot="1">
      <c r="A558" s="241"/>
      <c r="B558" s="195">
        <v>721002</v>
      </c>
      <c r="C558" s="196" t="s">
        <v>544</v>
      </c>
      <c r="D558" s="223">
        <v>0</v>
      </c>
      <c r="E558" s="67">
        <v>147</v>
      </c>
      <c r="F558" s="67">
        <v>147</v>
      </c>
      <c r="G558" s="51"/>
    </row>
    <row r="559" spans="1:7" ht="21.75" customHeight="1" thickBot="1">
      <c r="A559" s="303" t="s">
        <v>545</v>
      </c>
      <c r="B559" s="304"/>
      <c r="C559" s="297"/>
      <c r="D559" s="298">
        <f>SUM(D490+D505+D510+D512+D514+D517+D519+D522+D524+D526+D528+D530+D533+D535+D538+D540+D542+D544+D547+D549+D555+D557)</f>
        <v>35368</v>
      </c>
      <c r="E559" s="299">
        <f>SUM(E490+E505+E510+E512+E514+E517+E519+E522+E524+E526+E528+E530+E533+E535+E538+E540+E542+E544+E547+E549+E555+E557)</f>
        <v>546105</v>
      </c>
      <c r="F559" s="299">
        <f>SUM(F490+F505+F510+F512+F514+F517+F519+F522+F524+F526+F528+F530+F533+F535+F538+F540+F542+F544+F547+F549+F555+F557)</f>
        <v>495506</v>
      </c>
      <c r="G559" t="s">
        <v>546</v>
      </c>
    </row>
    <row r="560" spans="1:6" ht="18">
      <c r="A560" s="57"/>
      <c r="B560" s="2"/>
      <c r="C560" s="32"/>
      <c r="D560" s="212"/>
      <c r="E560" s="33"/>
      <c r="F560" s="33"/>
    </row>
    <row r="561" spans="1:6" ht="15.75" thickBot="1">
      <c r="A561" s="1"/>
      <c r="B561" s="2"/>
      <c r="C561" s="3"/>
      <c r="D561" s="205"/>
      <c r="E561" s="4"/>
      <c r="F561" s="4"/>
    </row>
    <row r="562" spans="1:6" ht="51.75" customHeight="1" thickBot="1">
      <c r="A562" s="300" t="s">
        <v>547</v>
      </c>
      <c r="B562" s="301"/>
      <c r="C562" s="302"/>
      <c r="D562" s="289" t="s">
        <v>388</v>
      </c>
      <c r="E562" s="282" t="s">
        <v>390</v>
      </c>
      <c r="F562" s="282" t="s">
        <v>649</v>
      </c>
    </row>
    <row r="563" spans="1:6" ht="15.75" customHeight="1">
      <c r="A563" s="232" t="s">
        <v>737</v>
      </c>
      <c r="B563" s="233" t="s">
        <v>684</v>
      </c>
      <c r="C563" s="81"/>
      <c r="D563" s="214">
        <f>D564</f>
        <v>98767</v>
      </c>
      <c r="E563" s="39">
        <f>E564</f>
        <v>161767</v>
      </c>
      <c r="F563" s="39">
        <f>SUM(F564)</f>
        <v>300221</v>
      </c>
    </row>
    <row r="564" spans="1:6" ht="15.75" customHeight="1">
      <c r="A564" s="234"/>
      <c r="B564" s="68">
        <v>821</v>
      </c>
      <c r="C564" s="82" t="s">
        <v>375</v>
      </c>
      <c r="D564" s="209">
        <v>98767</v>
      </c>
      <c r="E564" s="25">
        <f>D564+63000</f>
        <v>161767</v>
      </c>
      <c r="F564" s="25">
        <v>300221</v>
      </c>
    </row>
    <row r="565" spans="1:6" ht="15.75" customHeight="1">
      <c r="A565" s="58" t="s">
        <v>743</v>
      </c>
      <c r="B565" s="59" t="s">
        <v>498</v>
      </c>
      <c r="C565" s="60"/>
      <c r="D565" s="214">
        <f>SUM(D566)</f>
        <v>0</v>
      </c>
      <c r="E565" s="39">
        <f>SUM(E566)</f>
        <v>231583</v>
      </c>
      <c r="F565" s="39">
        <f>SUM(F566)</f>
        <v>600093</v>
      </c>
    </row>
    <row r="566" spans="1:6" ht="15.75" customHeight="1" thickBot="1">
      <c r="A566" s="47"/>
      <c r="B566" s="48">
        <v>814</v>
      </c>
      <c r="C566" s="3" t="s">
        <v>548</v>
      </c>
      <c r="D566" s="240">
        <v>0</v>
      </c>
      <c r="E566" s="110">
        <f>139007+92576</f>
        <v>231583</v>
      </c>
      <c r="F566" s="110">
        <v>600093</v>
      </c>
    </row>
    <row r="567" spans="1:6" ht="21.75" customHeight="1" thickBot="1">
      <c r="A567" s="295" t="s">
        <v>744</v>
      </c>
      <c r="B567" s="296"/>
      <c r="C567" s="297"/>
      <c r="D567" s="298">
        <f>SUM(D563+D565)</f>
        <v>98767</v>
      </c>
      <c r="E567" s="299">
        <f>SUM(E563+E565)</f>
        <v>393350</v>
      </c>
      <c r="F567" s="299">
        <f>SUM(F563+F565)</f>
        <v>900314</v>
      </c>
    </row>
    <row r="568" spans="1:6" ht="15.75" customHeight="1" thickBot="1">
      <c r="A568" s="30"/>
      <c r="B568" s="2"/>
      <c r="C568" s="32"/>
      <c r="D568" s="212"/>
      <c r="E568" s="33"/>
      <c r="F568" s="33"/>
    </row>
    <row r="569" spans="1:6" s="197" customFormat="1" ht="15.75" customHeight="1">
      <c r="A569" s="273" t="s">
        <v>549</v>
      </c>
      <c r="B569" s="274"/>
      <c r="C569" s="275"/>
      <c r="D569" s="276">
        <f>D487</f>
        <v>1322669</v>
      </c>
      <c r="E569" s="189">
        <f>E487</f>
        <v>1412679</v>
      </c>
      <c r="F569" s="189">
        <f>F487</f>
        <v>1551473</v>
      </c>
    </row>
    <row r="570" spans="1:6" s="197" customFormat="1" ht="15.75" customHeight="1">
      <c r="A570" s="183" t="s">
        <v>550</v>
      </c>
      <c r="B570" s="187"/>
      <c r="C570" s="188"/>
      <c r="D570" s="210">
        <v>35368</v>
      </c>
      <c r="E570" s="184">
        <v>546105</v>
      </c>
      <c r="F570" s="184">
        <v>495506</v>
      </c>
    </row>
    <row r="571" spans="1:6" s="197" customFormat="1" ht="15.75" customHeight="1" thickBot="1">
      <c r="A571" s="277" t="s">
        <v>551</v>
      </c>
      <c r="B571" s="278"/>
      <c r="C571" s="279"/>
      <c r="D571" s="280">
        <f>D567</f>
        <v>98767</v>
      </c>
      <c r="E571" s="281">
        <f>E567</f>
        <v>393350</v>
      </c>
      <c r="F571" s="281">
        <f>F567</f>
        <v>900314</v>
      </c>
    </row>
    <row r="572" spans="1:6" s="197" customFormat="1" ht="21.75" customHeight="1" thickBot="1">
      <c r="A572" s="290" t="s">
        <v>552</v>
      </c>
      <c r="B572" s="291"/>
      <c r="C572" s="292"/>
      <c r="D572" s="293">
        <f>D569+D570+D571</f>
        <v>1456804</v>
      </c>
      <c r="E572" s="294">
        <f>E569+E570+E571</f>
        <v>2352134</v>
      </c>
      <c r="F572" s="294">
        <f>F569+F570+F571</f>
        <v>2947293</v>
      </c>
    </row>
    <row r="573" ht="15.75" customHeight="1"/>
    <row r="574" ht="15.75" customHeight="1">
      <c r="C574" s="494"/>
    </row>
    <row r="575" spans="1:6" ht="15.75" customHeight="1" thickBot="1">
      <c r="A575" s="1"/>
      <c r="C575" s="495"/>
      <c r="E575" s="9"/>
      <c r="F575" s="8" t="s">
        <v>756</v>
      </c>
    </row>
    <row r="576" spans="1:6" ht="51.75" customHeight="1" thickBot="1">
      <c r="A576" s="286" t="s">
        <v>553</v>
      </c>
      <c r="B576" s="287"/>
      <c r="C576" s="288"/>
      <c r="D576" s="289" t="s">
        <v>388</v>
      </c>
      <c r="E576" s="282" t="s">
        <v>390</v>
      </c>
      <c r="F576" s="282" t="s">
        <v>649</v>
      </c>
    </row>
    <row r="577" spans="1:6" ht="15.75" customHeight="1">
      <c r="A577" s="83" t="s">
        <v>554</v>
      </c>
      <c r="B577" s="84"/>
      <c r="C577" s="36"/>
      <c r="D577" s="213">
        <v>1359727</v>
      </c>
      <c r="E577" s="37">
        <f>PRÍJMY!E91</f>
        <v>1558310</v>
      </c>
      <c r="F577" s="37">
        <f>PRÍJMY!F91</f>
        <v>1739314</v>
      </c>
    </row>
    <row r="578" spans="1:6" ht="15.75" customHeight="1">
      <c r="A578" s="19" t="s">
        <v>555</v>
      </c>
      <c r="B578" s="26"/>
      <c r="C578" s="24"/>
      <c r="D578" s="209">
        <v>77077</v>
      </c>
      <c r="E578" s="37">
        <f>'[1]príjmy zmena'!F83</f>
        <v>312923</v>
      </c>
      <c r="F578" s="37">
        <f>PRÍJMY!F92</f>
        <v>666217</v>
      </c>
    </row>
    <row r="579" spans="1:6" ht="15.75" customHeight="1" thickBot="1">
      <c r="A579" s="85" t="s">
        <v>556</v>
      </c>
      <c r="B579" s="86"/>
      <c r="C579" s="55"/>
      <c r="D579" s="222">
        <v>20000</v>
      </c>
      <c r="E579" s="56">
        <f>'[1]príjmy zmena'!F84</f>
        <v>480901</v>
      </c>
      <c r="F579" s="37">
        <f>PRÍJMY!F93</f>
        <v>811784</v>
      </c>
    </row>
    <row r="580" spans="1:6" ht="21.75" thickBot="1" thickTop="1">
      <c r="A580" s="87" t="s">
        <v>557</v>
      </c>
      <c r="B580" s="88"/>
      <c r="C580" s="89"/>
      <c r="D580" s="227">
        <f>D577+D578+D579</f>
        <v>1456804</v>
      </c>
      <c r="E580" s="90">
        <f>SUM(E577:E579)</f>
        <v>2352134</v>
      </c>
      <c r="F580" s="90">
        <f>SUM(F577:F579)</f>
        <v>3217315</v>
      </c>
    </row>
    <row r="581" spans="1:6" ht="15.75" customHeight="1" thickTop="1">
      <c r="A581" s="83" t="s">
        <v>549</v>
      </c>
      <c r="B581" s="84"/>
      <c r="C581" s="36"/>
      <c r="D581" s="209">
        <v>1322669</v>
      </c>
      <c r="E581" s="25">
        <f>E569</f>
        <v>1412679</v>
      </c>
      <c r="F581" s="25">
        <f>F569</f>
        <v>1551473</v>
      </c>
    </row>
    <row r="582" spans="1:6" ht="15.75" customHeight="1">
      <c r="A582" s="19" t="s">
        <v>550</v>
      </c>
      <c r="B582" s="26"/>
      <c r="C582" s="24"/>
      <c r="D582" s="209">
        <v>35368</v>
      </c>
      <c r="E582" s="25">
        <f>E559</f>
        <v>546105</v>
      </c>
      <c r="F582" s="25">
        <f>F570</f>
        <v>495506</v>
      </c>
    </row>
    <row r="583" spans="1:6" ht="15.75" customHeight="1" thickBot="1">
      <c r="A583" s="85" t="s">
        <v>551</v>
      </c>
      <c r="B583" s="86"/>
      <c r="C583" s="55"/>
      <c r="D583" s="222">
        <v>98767</v>
      </c>
      <c r="E583" s="25">
        <f>E571</f>
        <v>393350</v>
      </c>
      <c r="F583" s="25">
        <f>F571</f>
        <v>900314</v>
      </c>
    </row>
    <row r="584" spans="1:6" ht="21.75" customHeight="1" thickBot="1" thickTop="1">
      <c r="A584" s="235" t="s">
        <v>552</v>
      </c>
      <c r="B584" s="236"/>
      <c r="C584" s="237"/>
      <c r="D584" s="238">
        <f>SUM(D581:D583)</f>
        <v>1456804</v>
      </c>
      <c r="E584" s="239">
        <f>SUM(E581:E583)</f>
        <v>2352134</v>
      </c>
      <c r="F584" s="239">
        <f>SUM(F581:F583)</f>
        <v>2947293</v>
      </c>
    </row>
    <row r="585" spans="1:6" ht="19.5" customHeight="1" thickBot="1" thickTop="1">
      <c r="A585" s="95" t="s">
        <v>558</v>
      </c>
      <c r="B585" s="96"/>
      <c r="C585" s="97"/>
      <c r="D585" s="229">
        <f>D577-D581</f>
        <v>37058</v>
      </c>
      <c r="E585" s="98">
        <f aca="true" t="shared" si="11" ref="D585:F587">E577-E581</f>
        <v>145631</v>
      </c>
      <c r="F585" s="98">
        <f t="shared" si="11"/>
        <v>187841</v>
      </c>
    </row>
    <row r="586" spans="1:6" ht="19.5" customHeight="1" thickBot="1">
      <c r="A586" s="99" t="s">
        <v>559</v>
      </c>
      <c r="B586" s="100"/>
      <c r="C586" s="101"/>
      <c r="D586" s="229">
        <f t="shared" si="11"/>
        <v>41709</v>
      </c>
      <c r="E586" s="98">
        <f t="shared" si="11"/>
        <v>-233182</v>
      </c>
      <c r="F586" s="98">
        <f t="shared" si="11"/>
        <v>170711</v>
      </c>
    </row>
    <row r="587" spans="1:6" ht="19.5" customHeight="1" thickBot="1">
      <c r="A587" s="102" t="s">
        <v>560</v>
      </c>
      <c r="B587" s="103"/>
      <c r="C587" s="104"/>
      <c r="D587" s="229">
        <f t="shared" si="11"/>
        <v>-78767</v>
      </c>
      <c r="E587" s="98">
        <f t="shared" si="11"/>
        <v>87551</v>
      </c>
      <c r="F587" s="98">
        <f t="shared" si="11"/>
        <v>-88530</v>
      </c>
    </row>
    <row r="588" spans="1:6" s="1114" customFormat="1" ht="30.75" customHeight="1" thickBot="1" thickTop="1">
      <c r="A588" s="1109" t="s">
        <v>561</v>
      </c>
      <c r="B588" s="1110"/>
      <c r="C588" s="1111"/>
      <c r="D588" s="1112">
        <f>SUM(D585:D587)</f>
        <v>0</v>
      </c>
      <c r="E588" s="1112">
        <f>SUM(E585:E587)</f>
        <v>0</v>
      </c>
      <c r="F588" s="1113">
        <f>SUM(F585:F587)</f>
        <v>270022</v>
      </c>
    </row>
    <row r="589" spans="2:3" ht="15.75" thickTop="1">
      <c r="B589" s="91"/>
      <c r="C589" s="94"/>
    </row>
    <row r="590" spans="2:3" ht="15">
      <c r="B590" s="91"/>
      <c r="C590" s="94"/>
    </row>
    <row r="591" spans="2:3" ht="15">
      <c r="B591" s="91"/>
      <c r="C591" s="94"/>
    </row>
    <row r="592" spans="2:3" ht="15">
      <c r="B592" s="91"/>
      <c r="C592" s="91"/>
    </row>
    <row r="593" spans="1:3" ht="15.75">
      <c r="A593" s="105"/>
      <c r="B593" s="91"/>
      <c r="C593" s="91"/>
    </row>
    <row r="594" ht="15">
      <c r="C594" s="106"/>
    </row>
    <row r="601" ht="15">
      <c r="C601" s="107"/>
    </row>
    <row r="617" spans="2:3" ht="15">
      <c r="B617" s="91"/>
      <c r="C617" s="91"/>
    </row>
    <row r="618" spans="2:3" ht="15">
      <c r="B618" s="91"/>
      <c r="C618" s="91"/>
    </row>
    <row r="619" spans="2:3" ht="15">
      <c r="B619" s="91"/>
      <c r="C619" s="91"/>
    </row>
    <row r="620" spans="2:3" ht="15">
      <c r="B620" s="91"/>
      <c r="C620" s="91"/>
    </row>
    <row r="621" spans="2:3" ht="15">
      <c r="B621" s="91"/>
      <c r="C621" s="91"/>
    </row>
    <row r="622" spans="2:3" ht="15">
      <c r="B622" s="91"/>
      <c r="C622" s="91"/>
    </row>
    <row r="623" spans="2:3" ht="15">
      <c r="B623" s="91"/>
      <c r="C623" s="91"/>
    </row>
    <row r="624" spans="2:3" ht="15">
      <c r="B624" s="91"/>
      <c r="C624" s="91"/>
    </row>
    <row r="625" spans="2:3" ht="15">
      <c r="B625" s="91"/>
      <c r="C625" s="91"/>
    </row>
    <row r="626" spans="2:3" ht="15">
      <c r="B626" s="91"/>
      <c r="C626" s="91"/>
    </row>
    <row r="627" spans="2:3" ht="15">
      <c r="B627" s="91"/>
      <c r="C627" s="91"/>
    </row>
  </sheetData>
  <sheetProtection/>
  <printOptions/>
  <pageMargins left="0.76" right="0.17" top="0.55" bottom="0.33" header="0.24" footer="0.26"/>
  <pageSetup horizontalDpi="600" verticalDpi="600" orientation="portrait" paperSize="9" scale="75" r:id="rId3"/>
  <rowBreaks count="9" manualBreakCount="9">
    <brk id="62" max="5" man="1"/>
    <brk id="128" max="5" man="1"/>
    <brk id="193" max="5" man="1"/>
    <brk id="258" max="5" man="1"/>
    <brk id="325" max="5" man="1"/>
    <brk id="390" max="5" man="1"/>
    <brk id="457" max="5" man="1"/>
    <brk id="520" max="5" man="1"/>
    <brk id="574" max="5" man="1"/>
  </rowBreaks>
  <colBreaks count="1" manualBreakCount="1">
    <brk id="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0"/>
  <sheetViews>
    <sheetView workbookViewId="0" topLeftCell="A25">
      <selection activeCell="J16" sqref="J16"/>
    </sheetView>
  </sheetViews>
  <sheetFormatPr defaultColWidth="9.00390625" defaultRowHeight="12.75"/>
  <cols>
    <col min="1" max="1" width="2.625" style="117" customWidth="1"/>
    <col min="2" max="2" width="38.25390625" style="117" customWidth="1"/>
    <col min="3" max="3" width="6.875" style="117" customWidth="1"/>
    <col min="4" max="6" width="16.75390625" style="117" customWidth="1"/>
    <col min="7" max="16384" width="9.125" style="117" customWidth="1"/>
  </cols>
  <sheetData>
    <row r="2" spans="2:6" ht="18">
      <c r="B2" s="940" t="s">
        <v>167</v>
      </c>
      <c r="F2" s="8" t="s">
        <v>775</v>
      </c>
    </row>
    <row r="3" ht="14.25">
      <c r="F3" s="1360"/>
    </row>
    <row r="4" spans="2:6" ht="18">
      <c r="B4" s="1390" t="s">
        <v>630</v>
      </c>
      <c r="C4" s="1390"/>
      <c r="D4" s="1390"/>
      <c r="E4" s="1390"/>
      <c r="F4" s="1360"/>
    </row>
    <row r="5" spans="2:12" ht="16.5" thickBot="1">
      <c r="B5" s="118"/>
      <c r="C5" s="118"/>
      <c r="D5" s="119"/>
      <c r="E5" s="9"/>
      <c r="F5" s="8" t="s">
        <v>983</v>
      </c>
      <c r="G5" s="120"/>
      <c r="H5" s="120"/>
      <c r="I5" s="120"/>
      <c r="J5" s="120"/>
      <c r="K5" s="120"/>
      <c r="L5" s="120"/>
    </row>
    <row r="6" spans="2:12" s="121" customFormat="1" ht="51.75" customHeight="1" thickBot="1">
      <c r="B6" s="433" t="s">
        <v>631</v>
      </c>
      <c r="C6" s="434" t="s">
        <v>632</v>
      </c>
      <c r="D6" s="435" t="s">
        <v>388</v>
      </c>
      <c r="E6" s="435" t="s">
        <v>390</v>
      </c>
      <c r="F6" s="435" t="s">
        <v>649</v>
      </c>
      <c r="G6" s="122"/>
      <c r="H6" s="122"/>
      <c r="I6" s="122"/>
      <c r="J6" s="122"/>
      <c r="K6" s="122"/>
      <c r="L6" s="122"/>
    </row>
    <row r="7" spans="2:12" s="123" customFormat="1" ht="15.75" customHeight="1">
      <c r="B7" s="124" t="s">
        <v>633</v>
      </c>
      <c r="C7" s="125"/>
      <c r="D7" s="126"/>
      <c r="E7" s="127"/>
      <c r="F7" s="127"/>
      <c r="G7" s="128"/>
      <c r="H7" s="128"/>
      <c r="I7" s="128"/>
      <c r="J7" s="128"/>
      <c r="K7" s="128"/>
      <c r="L7" s="128"/>
    </row>
    <row r="8" spans="2:12" ht="15.75" customHeight="1">
      <c r="B8" s="129" t="s">
        <v>634</v>
      </c>
      <c r="C8" s="130" t="s">
        <v>994</v>
      </c>
      <c r="D8" s="131">
        <v>180663</v>
      </c>
      <c r="E8" s="132">
        <v>180663</v>
      </c>
      <c r="F8" s="132">
        <v>158203</v>
      </c>
      <c r="G8" s="120"/>
      <c r="H8" s="120"/>
      <c r="I8" s="120"/>
      <c r="J8" s="120"/>
      <c r="K8" s="120"/>
      <c r="L8" s="120"/>
    </row>
    <row r="9" spans="2:12" ht="15.75" customHeight="1">
      <c r="B9" s="129" t="s">
        <v>635</v>
      </c>
      <c r="C9" s="130" t="s">
        <v>994</v>
      </c>
      <c r="D9" s="131">
        <v>274770</v>
      </c>
      <c r="E9" s="132">
        <v>274770</v>
      </c>
      <c r="F9" s="132">
        <v>264119</v>
      </c>
      <c r="G9" s="120"/>
      <c r="H9" s="120"/>
      <c r="I9" s="120"/>
      <c r="J9" s="120"/>
      <c r="K9" s="120"/>
      <c r="L9" s="120"/>
    </row>
    <row r="10" spans="2:12" ht="15.75" customHeight="1">
      <c r="B10" s="129" t="s">
        <v>636</v>
      </c>
      <c r="C10" s="130" t="s">
        <v>994</v>
      </c>
      <c r="D10" s="131">
        <v>22000</v>
      </c>
      <c r="E10" s="132">
        <v>22000</v>
      </c>
      <c r="F10" s="132">
        <v>45228</v>
      </c>
      <c r="G10" s="120"/>
      <c r="H10" s="120"/>
      <c r="I10" s="120"/>
      <c r="J10" s="120"/>
      <c r="K10" s="120"/>
      <c r="L10" s="120"/>
    </row>
    <row r="11" spans="2:12" ht="15.75" customHeight="1">
      <c r="B11" s="129" t="s">
        <v>637</v>
      </c>
      <c r="C11" s="130" t="s">
        <v>994</v>
      </c>
      <c r="D11" s="131">
        <v>87000</v>
      </c>
      <c r="E11" s="132">
        <v>87000</v>
      </c>
      <c r="F11" s="132">
        <v>83021</v>
      </c>
      <c r="G11" s="120"/>
      <c r="H11" s="120"/>
      <c r="I11" s="120"/>
      <c r="J11" s="120"/>
      <c r="K11" s="120"/>
      <c r="L11" s="120"/>
    </row>
    <row r="12" spans="2:12" ht="15.75" customHeight="1">
      <c r="B12" s="129" t="s">
        <v>638</v>
      </c>
      <c r="C12" s="130" t="s">
        <v>639</v>
      </c>
      <c r="D12" s="131">
        <v>343</v>
      </c>
      <c r="E12" s="132">
        <v>343</v>
      </c>
      <c r="F12" s="132">
        <v>301</v>
      </c>
      <c r="G12" s="120"/>
      <c r="H12" s="120"/>
      <c r="I12" s="120"/>
      <c r="J12" s="120"/>
      <c r="K12" s="120"/>
      <c r="L12" s="120"/>
    </row>
    <row r="13" spans="2:12" ht="15.75" customHeight="1">
      <c r="B13" s="129" t="s">
        <v>640</v>
      </c>
      <c r="C13" s="130" t="s">
        <v>641</v>
      </c>
      <c r="D13" s="131">
        <v>21137</v>
      </c>
      <c r="E13" s="132">
        <v>21137</v>
      </c>
      <c r="F13" s="132">
        <v>21920</v>
      </c>
      <c r="G13" s="120"/>
      <c r="H13" s="120"/>
      <c r="I13" s="120"/>
      <c r="J13" s="120"/>
      <c r="K13" s="120"/>
      <c r="L13" s="120"/>
    </row>
    <row r="14" spans="2:12" s="134" customFormat="1" ht="15.75" customHeight="1">
      <c r="B14" s="135" t="s">
        <v>986</v>
      </c>
      <c r="C14" s="130" t="s">
        <v>994</v>
      </c>
      <c r="D14" s="136">
        <f>D15+D16</f>
        <v>94300</v>
      </c>
      <c r="E14" s="137">
        <f>E15+E16</f>
        <v>94300</v>
      </c>
      <c r="F14" s="137">
        <f>F15+F16</f>
        <v>94300</v>
      </c>
      <c r="G14" s="138"/>
      <c r="H14" s="138"/>
      <c r="I14" s="138"/>
      <c r="J14" s="138"/>
      <c r="K14" s="138"/>
      <c r="L14" s="138"/>
    </row>
    <row r="15" spans="2:12" s="134" customFormat="1" ht="15.75" customHeight="1">
      <c r="B15" s="135" t="s">
        <v>984</v>
      </c>
      <c r="C15" s="130" t="s">
        <v>994</v>
      </c>
      <c r="D15" s="136">
        <v>82300</v>
      </c>
      <c r="E15" s="137">
        <v>82300</v>
      </c>
      <c r="F15" s="137">
        <v>82300</v>
      </c>
      <c r="G15" s="138"/>
      <c r="H15" s="138"/>
      <c r="I15" s="138"/>
      <c r="J15" s="138"/>
      <c r="K15" s="138"/>
      <c r="L15" s="138"/>
    </row>
    <row r="16" spans="2:12" s="134" customFormat="1" ht="15.75" customHeight="1">
      <c r="B16" s="135" t="s">
        <v>985</v>
      </c>
      <c r="C16" s="130" t="s">
        <v>994</v>
      </c>
      <c r="D16" s="136">
        <v>12000</v>
      </c>
      <c r="E16" s="137">
        <v>12000</v>
      </c>
      <c r="F16" s="137">
        <v>12000</v>
      </c>
      <c r="G16" s="138"/>
      <c r="H16" s="138"/>
      <c r="I16" s="138"/>
      <c r="J16" s="138"/>
      <c r="K16" s="138"/>
      <c r="L16" s="138"/>
    </row>
    <row r="17" spans="2:12" s="134" customFormat="1" ht="15.75" customHeight="1">
      <c r="B17" s="436" t="s">
        <v>377</v>
      </c>
      <c r="C17" s="437"/>
      <c r="D17" s="438">
        <v>18948</v>
      </c>
      <c r="E17" s="439">
        <v>18948</v>
      </c>
      <c r="F17" s="439">
        <v>17786</v>
      </c>
      <c r="G17" s="138"/>
      <c r="H17" s="138"/>
      <c r="I17" s="138"/>
      <c r="J17" s="138"/>
      <c r="K17" s="138"/>
      <c r="L17" s="138"/>
    </row>
    <row r="18" spans="2:12" s="134" customFormat="1" ht="15.75" customHeight="1">
      <c r="B18" s="436" t="s">
        <v>378</v>
      </c>
      <c r="C18" s="437"/>
      <c r="D18" s="438">
        <v>0</v>
      </c>
      <c r="E18" s="439">
        <v>26919</v>
      </c>
      <c r="F18" s="439">
        <v>26919</v>
      </c>
      <c r="G18" s="138"/>
      <c r="H18" s="138"/>
      <c r="I18" s="138"/>
      <c r="J18" s="138"/>
      <c r="K18" s="138"/>
      <c r="L18" s="138"/>
    </row>
    <row r="19" spans="2:12" ht="15.75" customHeight="1">
      <c r="B19" s="129" t="s">
        <v>376</v>
      </c>
      <c r="C19" s="130" t="s">
        <v>994</v>
      </c>
      <c r="D19" s="131">
        <v>0</v>
      </c>
      <c r="E19" s="132">
        <v>0</v>
      </c>
      <c r="F19" s="132">
        <v>-5830</v>
      </c>
      <c r="G19" s="120"/>
      <c r="H19" s="120"/>
      <c r="I19" s="120"/>
      <c r="J19" s="120"/>
      <c r="K19" s="120"/>
      <c r="L19" s="120"/>
    </row>
    <row r="20" spans="2:12" ht="15.75" customHeight="1" thickBot="1">
      <c r="B20" s="139" t="s">
        <v>642</v>
      </c>
      <c r="C20" s="140" t="s">
        <v>641</v>
      </c>
      <c r="D20" s="141">
        <v>100000</v>
      </c>
      <c r="E20" s="142">
        <v>100000</v>
      </c>
      <c r="F20" s="142">
        <v>56000</v>
      </c>
      <c r="G20" s="120"/>
      <c r="H20" s="120"/>
      <c r="I20" s="120"/>
      <c r="J20" s="120"/>
      <c r="K20" s="120"/>
      <c r="L20" s="120"/>
    </row>
    <row r="21" spans="2:12" s="123" customFormat="1" ht="15.75" customHeight="1" thickBot="1">
      <c r="B21" s="143" t="s">
        <v>643</v>
      </c>
      <c r="C21" s="144"/>
      <c r="D21" s="145"/>
      <c r="E21" s="146"/>
      <c r="F21" s="146"/>
      <c r="G21" s="128"/>
      <c r="H21" s="128"/>
      <c r="I21" s="128"/>
      <c r="J21" s="128"/>
      <c r="K21" s="128"/>
      <c r="L21" s="128"/>
    </row>
    <row r="22" spans="2:12" ht="15.75" customHeight="1">
      <c r="B22" s="446" t="s">
        <v>634</v>
      </c>
      <c r="C22" s="130" t="s">
        <v>994</v>
      </c>
      <c r="D22" s="447">
        <v>3950</v>
      </c>
      <c r="E22" s="448">
        <v>3950</v>
      </c>
      <c r="F22" s="448">
        <v>5311</v>
      </c>
      <c r="G22" s="120"/>
      <c r="H22" s="120"/>
      <c r="I22" s="120"/>
      <c r="J22" s="120"/>
      <c r="K22" s="120"/>
      <c r="L22" s="120"/>
    </row>
    <row r="23" spans="2:12" ht="15.75" customHeight="1">
      <c r="B23" s="129" t="s">
        <v>635</v>
      </c>
      <c r="C23" s="130" t="s">
        <v>994</v>
      </c>
      <c r="D23" s="131">
        <v>19474</v>
      </c>
      <c r="E23" s="150">
        <v>19474</v>
      </c>
      <c r="F23" s="150">
        <v>21469</v>
      </c>
      <c r="G23" s="120"/>
      <c r="H23" s="120"/>
      <c r="I23" s="120"/>
      <c r="J23" s="120"/>
      <c r="K23" s="120"/>
      <c r="L23" s="120"/>
    </row>
    <row r="24" spans="2:12" ht="15.75" customHeight="1">
      <c r="B24" s="129" t="s">
        <v>636</v>
      </c>
      <c r="C24" s="130" t="s">
        <v>994</v>
      </c>
      <c r="D24" s="131">
        <v>500</v>
      </c>
      <c r="E24" s="449">
        <v>500</v>
      </c>
      <c r="F24" s="449">
        <v>0</v>
      </c>
      <c r="G24" s="120"/>
      <c r="H24" s="120"/>
      <c r="I24" s="120"/>
      <c r="J24" s="120"/>
      <c r="K24" s="120"/>
      <c r="L24" s="120"/>
    </row>
    <row r="25" spans="2:12" ht="15.75" customHeight="1">
      <c r="B25" s="129" t="s">
        <v>637</v>
      </c>
      <c r="C25" s="130" t="s">
        <v>994</v>
      </c>
      <c r="D25" s="131">
        <v>8490</v>
      </c>
      <c r="E25" s="150">
        <v>8490</v>
      </c>
      <c r="F25" s="150">
        <v>7352</v>
      </c>
      <c r="G25" s="120"/>
      <c r="H25" s="120"/>
      <c r="I25" s="120"/>
      <c r="J25" s="120"/>
      <c r="K25" s="120"/>
      <c r="L25" s="120"/>
    </row>
    <row r="26" spans="2:12" ht="15.75" customHeight="1">
      <c r="B26" s="129" t="s">
        <v>638</v>
      </c>
      <c r="C26" s="450" t="s">
        <v>644</v>
      </c>
      <c r="D26" s="131">
        <v>34</v>
      </c>
      <c r="E26" s="150">
        <v>34</v>
      </c>
      <c r="F26" s="150">
        <v>31</v>
      </c>
      <c r="G26" s="120"/>
      <c r="H26" s="120"/>
      <c r="I26" s="120"/>
      <c r="J26" s="120"/>
      <c r="K26" s="120"/>
      <c r="L26" s="120"/>
    </row>
    <row r="27" spans="2:12" ht="15.75" customHeight="1">
      <c r="B27" s="129" t="s">
        <v>640</v>
      </c>
      <c r="C27" s="450" t="s">
        <v>641</v>
      </c>
      <c r="D27" s="131">
        <v>18946</v>
      </c>
      <c r="E27" s="150">
        <v>18946</v>
      </c>
      <c r="F27" s="150">
        <v>18304</v>
      </c>
      <c r="G27" s="151"/>
      <c r="H27" s="151"/>
      <c r="I27" s="151"/>
      <c r="J27" s="151"/>
      <c r="K27" s="151"/>
      <c r="L27" s="151"/>
    </row>
    <row r="28" spans="2:12" s="134" customFormat="1" ht="15.75" customHeight="1">
      <c r="B28" s="135" t="s">
        <v>986</v>
      </c>
      <c r="C28" s="130" t="s">
        <v>994</v>
      </c>
      <c r="D28" s="136">
        <v>16024</v>
      </c>
      <c r="E28" s="154">
        <v>16024</v>
      </c>
      <c r="F28" s="154">
        <v>18047</v>
      </c>
      <c r="G28" s="153"/>
      <c r="H28" s="153"/>
      <c r="I28" s="153"/>
      <c r="J28" s="153"/>
      <c r="K28" s="153"/>
      <c r="L28" s="153"/>
    </row>
    <row r="29" spans="2:12" s="134" customFormat="1" ht="15.75" customHeight="1">
      <c r="B29" s="135" t="s">
        <v>811</v>
      </c>
      <c r="C29" s="130" t="s">
        <v>994</v>
      </c>
      <c r="D29" s="136">
        <v>16024</v>
      </c>
      <c r="E29" s="137">
        <v>16024</v>
      </c>
      <c r="F29" s="137">
        <v>17665</v>
      </c>
      <c r="G29" s="153"/>
      <c r="H29" s="153"/>
      <c r="I29" s="153"/>
      <c r="J29" s="153"/>
      <c r="K29" s="153"/>
      <c r="L29" s="153"/>
    </row>
    <row r="30" spans="2:12" s="134" customFormat="1" ht="15.75" customHeight="1">
      <c r="B30" s="135" t="s">
        <v>988</v>
      </c>
      <c r="C30" s="130" t="s">
        <v>994</v>
      </c>
      <c r="D30" s="136">
        <f>D28-D31</f>
        <v>15524</v>
      </c>
      <c r="E30" s="137">
        <v>15524</v>
      </c>
      <c r="F30" s="137">
        <v>15524</v>
      </c>
      <c r="G30" s="153"/>
      <c r="H30" s="153"/>
      <c r="I30" s="153"/>
      <c r="J30" s="153"/>
      <c r="K30" s="153"/>
      <c r="L30" s="153"/>
    </row>
    <row r="31" spans="2:12" s="134" customFormat="1" ht="15.75" customHeight="1">
      <c r="B31" s="135" t="s">
        <v>1001</v>
      </c>
      <c r="C31" s="130" t="s">
        <v>994</v>
      </c>
      <c r="D31" s="136">
        <v>500</v>
      </c>
      <c r="E31" s="154">
        <v>500</v>
      </c>
      <c r="F31" s="154">
        <v>0</v>
      </c>
      <c r="G31" s="153"/>
      <c r="H31" s="153"/>
      <c r="I31" s="153"/>
      <c r="J31" s="153"/>
      <c r="K31" s="153"/>
      <c r="L31" s="153"/>
    </row>
    <row r="32" spans="2:12" s="134" customFormat="1" ht="15.75" customHeight="1">
      <c r="B32" s="135" t="s">
        <v>1002</v>
      </c>
      <c r="C32" s="130" t="s">
        <v>994</v>
      </c>
      <c r="D32" s="136">
        <v>0</v>
      </c>
      <c r="E32" s="154">
        <v>0</v>
      </c>
      <c r="F32" s="154">
        <v>2141</v>
      </c>
      <c r="G32" s="153"/>
      <c r="H32" s="153"/>
      <c r="I32" s="153"/>
      <c r="J32" s="153"/>
      <c r="K32" s="153"/>
      <c r="L32" s="153"/>
    </row>
    <row r="33" spans="2:12" s="134" customFormat="1" ht="15.75" customHeight="1">
      <c r="B33" s="135" t="s">
        <v>989</v>
      </c>
      <c r="C33" s="130" t="s">
        <v>994</v>
      </c>
      <c r="D33" s="136">
        <v>0</v>
      </c>
      <c r="E33" s="154">
        <v>0</v>
      </c>
      <c r="F33" s="154">
        <v>382</v>
      </c>
      <c r="G33" s="153"/>
      <c r="H33" s="153"/>
      <c r="I33" s="153"/>
      <c r="J33" s="153"/>
      <c r="K33" s="153"/>
      <c r="L33" s="153"/>
    </row>
    <row r="34" spans="2:12" s="134" customFormat="1" ht="15.75" customHeight="1">
      <c r="B34" s="135" t="s">
        <v>990</v>
      </c>
      <c r="C34" s="130" t="s">
        <v>994</v>
      </c>
      <c r="D34" s="136">
        <v>0</v>
      </c>
      <c r="E34" s="154">
        <v>0</v>
      </c>
      <c r="F34" s="154">
        <v>375</v>
      </c>
      <c r="G34" s="153"/>
      <c r="H34" s="153"/>
      <c r="I34" s="153"/>
      <c r="J34" s="153"/>
      <c r="K34" s="153"/>
      <c r="L34" s="153"/>
    </row>
    <row r="35" spans="2:12" s="134" customFormat="1" ht="15.75" customHeight="1">
      <c r="B35" s="135" t="s">
        <v>991</v>
      </c>
      <c r="C35" s="130" t="s">
        <v>994</v>
      </c>
      <c r="D35" s="136">
        <v>0</v>
      </c>
      <c r="E35" s="154">
        <v>0</v>
      </c>
      <c r="F35" s="154">
        <v>7</v>
      </c>
      <c r="G35" s="153"/>
      <c r="H35" s="153"/>
      <c r="I35" s="153"/>
      <c r="J35" s="153"/>
      <c r="K35" s="153"/>
      <c r="L35" s="153"/>
    </row>
    <row r="36" spans="2:12" ht="15.75" customHeight="1">
      <c r="B36" s="129" t="s">
        <v>992</v>
      </c>
      <c r="C36" s="130" t="s">
        <v>994</v>
      </c>
      <c r="D36" s="131">
        <v>0</v>
      </c>
      <c r="E36" s="150">
        <v>0</v>
      </c>
      <c r="F36" s="150">
        <v>1889</v>
      </c>
      <c r="G36" s="151"/>
      <c r="H36" s="151"/>
      <c r="I36" s="151"/>
      <c r="J36" s="151"/>
      <c r="K36" s="151"/>
      <c r="L36" s="151"/>
    </row>
    <row r="37" spans="2:12" ht="15.75" customHeight="1">
      <c r="B37" s="451" t="s">
        <v>645</v>
      </c>
      <c r="C37" s="452" t="s">
        <v>993</v>
      </c>
      <c r="D37" s="453">
        <v>320</v>
      </c>
      <c r="E37" s="155">
        <v>320</v>
      </c>
      <c r="F37" s="155">
        <v>312</v>
      </c>
      <c r="G37" s="151"/>
      <c r="H37" s="151"/>
      <c r="I37" s="151"/>
      <c r="J37" s="151"/>
      <c r="K37" s="151"/>
      <c r="L37" s="151"/>
    </row>
    <row r="38" spans="2:12" ht="15.75" customHeight="1">
      <c r="B38" s="451" t="s">
        <v>646</v>
      </c>
      <c r="C38" s="454" t="s">
        <v>644</v>
      </c>
      <c r="D38" s="453">
        <v>78000</v>
      </c>
      <c r="E38" s="155">
        <v>78000</v>
      </c>
      <c r="F38" s="155">
        <v>113417</v>
      </c>
      <c r="G38" s="151"/>
      <c r="H38" s="151"/>
      <c r="I38" s="151"/>
      <c r="J38" s="151"/>
      <c r="K38" s="151"/>
      <c r="L38" s="151"/>
    </row>
    <row r="39" spans="2:12" ht="15.75" customHeight="1" thickBot="1">
      <c r="B39" s="139" t="s">
        <v>642</v>
      </c>
      <c r="C39" s="130" t="s">
        <v>641</v>
      </c>
      <c r="D39" s="455">
        <v>50000</v>
      </c>
      <c r="E39" s="157">
        <v>50000</v>
      </c>
      <c r="F39" s="476">
        <v>44870.5</v>
      </c>
      <c r="G39" s="151"/>
      <c r="H39" s="151"/>
      <c r="I39" s="151"/>
      <c r="J39" s="151"/>
      <c r="K39" s="151"/>
      <c r="L39" s="151"/>
    </row>
    <row r="40" spans="2:12" s="123" customFormat="1" ht="15.75" customHeight="1">
      <c r="B40" s="158" t="s">
        <v>647</v>
      </c>
      <c r="C40" s="159"/>
      <c r="D40" s="160"/>
      <c r="E40" s="161"/>
      <c r="F40" s="161"/>
      <c r="G40" s="162"/>
      <c r="H40" s="162"/>
      <c r="I40" s="162"/>
      <c r="J40" s="162"/>
      <c r="K40" s="162"/>
      <c r="L40" s="162"/>
    </row>
    <row r="41" spans="2:12" ht="15.75" customHeight="1">
      <c r="B41" s="147" t="s">
        <v>634</v>
      </c>
      <c r="C41" s="130" t="s">
        <v>994</v>
      </c>
      <c r="D41" s="163">
        <v>10000</v>
      </c>
      <c r="E41" s="164">
        <v>10000</v>
      </c>
      <c r="F41" s="942">
        <v>10763</v>
      </c>
      <c r="G41" s="151"/>
      <c r="H41" s="151"/>
      <c r="I41" s="151"/>
      <c r="J41" s="151"/>
      <c r="K41" s="151"/>
      <c r="L41" s="151"/>
    </row>
    <row r="42" spans="2:12" ht="15.75" customHeight="1">
      <c r="B42" s="148" t="s">
        <v>635</v>
      </c>
      <c r="C42" s="130" t="s">
        <v>994</v>
      </c>
      <c r="D42" s="149">
        <v>25397</v>
      </c>
      <c r="E42" s="166">
        <v>25397</v>
      </c>
      <c r="F42" s="132">
        <v>21457</v>
      </c>
      <c r="G42" s="151"/>
      <c r="H42" s="151"/>
      <c r="I42" s="151"/>
      <c r="J42" s="151"/>
      <c r="K42" s="151"/>
      <c r="L42" s="151"/>
    </row>
    <row r="43" spans="2:12" ht="15.75" customHeight="1">
      <c r="B43" s="148" t="s">
        <v>636</v>
      </c>
      <c r="C43" s="130" t="s">
        <v>994</v>
      </c>
      <c r="D43" s="149">
        <v>200</v>
      </c>
      <c r="E43" s="166">
        <v>200</v>
      </c>
      <c r="F43" s="132">
        <v>0</v>
      </c>
      <c r="G43" s="151"/>
      <c r="H43" s="151"/>
      <c r="I43" s="151"/>
      <c r="J43" s="151"/>
      <c r="K43" s="151"/>
      <c r="L43" s="151"/>
    </row>
    <row r="44" spans="2:12" ht="15.75" customHeight="1">
      <c r="B44" s="148" t="s">
        <v>637</v>
      </c>
      <c r="C44" s="130" t="s">
        <v>994</v>
      </c>
      <c r="D44" s="149">
        <v>8610</v>
      </c>
      <c r="E44" s="166">
        <v>8610</v>
      </c>
      <c r="F44" s="132">
        <v>6605</v>
      </c>
      <c r="G44" s="151"/>
      <c r="H44" s="151"/>
      <c r="I44" s="151"/>
      <c r="J44" s="151"/>
      <c r="K44" s="151"/>
      <c r="L44" s="151"/>
    </row>
    <row r="45" spans="2:12" ht="15.75" customHeight="1">
      <c r="B45" s="148" t="s">
        <v>638</v>
      </c>
      <c r="C45" s="165" t="s">
        <v>644</v>
      </c>
      <c r="D45" s="149">
        <v>56</v>
      </c>
      <c r="E45" s="166">
        <v>32</v>
      </c>
      <c r="F45" s="132">
        <v>40</v>
      </c>
      <c r="G45" s="151"/>
      <c r="H45" s="151"/>
      <c r="I45" s="151"/>
      <c r="J45" s="151"/>
      <c r="K45" s="151"/>
      <c r="L45" s="151"/>
    </row>
    <row r="46" spans="2:12" ht="15.75" customHeight="1">
      <c r="B46" s="147" t="s">
        <v>640</v>
      </c>
      <c r="C46" s="165" t="s">
        <v>648</v>
      </c>
      <c r="D46" s="163">
        <v>12366</v>
      </c>
      <c r="E46" s="164">
        <v>12366</v>
      </c>
      <c r="F46" s="942">
        <v>14000</v>
      </c>
      <c r="G46" s="151"/>
      <c r="H46" s="151"/>
      <c r="I46" s="151"/>
      <c r="J46" s="151"/>
      <c r="K46" s="151"/>
      <c r="L46" s="151"/>
    </row>
    <row r="47" spans="2:12" s="134" customFormat="1" ht="15.75" customHeight="1">
      <c r="B47" s="152" t="s">
        <v>986</v>
      </c>
      <c r="C47" s="130" t="s">
        <v>994</v>
      </c>
      <c r="D47" s="167">
        <v>15597</v>
      </c>
      <c r="E47" s="168">
        <v>15597</v>
      </c>
      <c r="F47" s="943">
        <v>11300</v>
      </c>
      <c r="G47" s="153"/>
      <c r="H47" s="153"/>
      <c r="I47" s="153"/>
      <c r="J47" s="153"/>
      <c r="K47" s="153"/>
      <c r="L47" s="153"/>
    </row>
    <row r="48" spans="2:12" s="134" customFormat="1" ht="15.75" customHeight="1">
      <c r="B48" s="152" t="s">
        <v>984</v>
      </c>
      <c r="C48" s="130" t="s">
        <v>994</v>
      </c>
      <c r="D48" s="167">
        <f>D47-D49</f>
        <v>15397</v>
      </c>
      <c r="E48" s="168">
        <f>E47-E49</f>
        <v>15397</v>
      </c>
      <c r="F48" s="943">
        <v>11300</v>
      </c>
      <c r="G48" s="153"/>
      <c r="H48" s="153"/>
      <c r="I48" s="153"/>
      <c r="J48" s="153"/>
      <c r="K48" s="153"/>
      <c r="L48" s="153"/>
    </row>
    <row r="49" spans="2:12" s="134" customFormat="1" ht="15.75" customHeight="1">
      <c r="B49" s="152" t="s">
        <v>985</v>
      </c>
      <c r="C49" s="130" t="s">
        <v>994</v>
      </c>
      <c r="D49" s="167">
        <v>200</v>
      </c>
      <c r="E49" s="168">
        <v>200</v>
      </c>
      <c r="F49" s="943">
        <v>0</v>
      </c>
      <c r="G49" s="153"/>
      <c r="H49" s="153"/>
      <c r="I49" s="153"/>
      <c r="J49" s="153"/>
      <c r="K49" s="153"/>
      <c r="L49" s="153"/>
    </row>
    <row r="50" spans="2:12" ht="15.75" customHeight="1">
      <c r="B50" s="148" t="s">
        <v>992</v>
      </c>
      <c r="C50" s="130" t="s">
        <v>994</v>
      </c>
      <c r="D50" s="163">
        <v>0</v>
      </c>
      <c r="E50" s="164">
        <v>0</v>
      </c>
      <c r="F50" s="942">
        <v>606</v>
      </c>
      <c r="G50" s="151"/>
      <c r="H50" s="151"/>
      <c r="I50" s="151"/>
      <c r="J50" s="151"/>
      <c r="K50" s="151"/>
      <c r="L50" s="151"/>
    </row>
    <row r="51" spans="2:12" ht="15.75" customHeight="1" thickBot="1">
      <c r="B51" s="156" t="s">
        <v>642</v>
      </c>
      <c r="C51" s="440" t="s">
        <v>641</v>
      </c>
      <c r="D51" s="169">
        <v>20000</v>
      </c>
      <c r="E51" s="170">
        <v>20000</v>
      </c>
      <c r="F51" s="142">
        <v>9000</v>
      </c>
      <c r="G51" s="151"/>
      <c r="H51" s="151"/>
      <c r="I51" s="151"/>
      <c r="J51" s="151"/>
      <c r="K51" s="151"/>
      <c r="L51" s="151"/>
    </row>
    <row r="52" spans="2:12" ht="15.75" customHeight="1">
      <c r="B52" s="151"/>
      <c r="C52" s="151"/>
      <c r="D52" s="151"/>
      <c r="E52" s="133"/>
      <c r="F52" s="133"/>
      <c r="G52" s="151"/>
      <c r="H52" s="151"/>
      <c r="I52" s="151"/>
      <c r="J52" s="151"/>
      <c r="K52" s="151"/>
      <c r="L52" s="151"/>
    </row>
    <row r="53" spans="2:12" ht="15.75" customHeight="1">
      <c r="B53" s="151"/>
      <c r="C53" s="151"/>
      <c r="D53" s="151"/>
      <c r="E53" s="133"/>
      <c r="F53" s="133"/>
      <c r="G53" s="151"/>
      <c r="H53" s="151"/>
      <c r="I53" s="151"/>
      <c r="J53" s="151"/>
      <c r="K53" s="151"/>
      <c r="L53" s="151"/>
    </row>
    <row r="54" spans="2:12" ht="15.75" customHeight="1" thickBot="1">
      <c r="B54" s="118"/>
      <c r="C54" s="118"/>
      <c r="D54" s="119"/>
      <c r="E54" s="9"/>
      <c r="F54" s="8" t="s">
        <v>998</v>
      </c>
      <c r="G54" s="151"/>
      <c r="H54" s="151"/>
      <c r="I54" s="151"/>
      <c r="J54" s="151"/>
      <c r="K54" s="151"/>
      <c r="L54" s="151"/>
    </row>
    <row r="55" spans="2:12" ht="51.75" customHeight="1" thickBot="1">
      <c r="B55" s="433" t="s">
        <v>631</v>
      </c>
      <c r="C55" s="434" t="s">
        <v>632</v>
      </c>
      <c r="D55" s="435" t="s">
        <v>388</v>
      </c>
      <c r="E55" s="435" t="s">
        <v>390</v>
      </c>
      <c r="F55" s="435" t="s">
        <v>649</v>
      </c>
      <c r="G55" s="151"/>
      <c r="H55" s="151"/>
      <c r="I55" s="151"/>
      <c r="J55" s="151"/>
      <c r="K55" s="151"/>
      <c r="L55" s="151"/>
    </row>
    <row r="56" spans="2:12" ht="15.75" customHeight="1">
      <c r="B56" s="456" t="s">
        <v>999</v>
      </c>
      <c r="C56" s="457"/>
      <c r="D56" s="458"/>
      <c r="E56" s="459"/>
      <c r="F56" s="459"/>
      <c r="G56" s="151"/>
      <c r="H56" s="151"/>
      <c r="I56" s="151"/>
      <c r="J56" s="151"/>
      <c r="K56" s="151"/>
      <c r="L56" s="151"/>
    </row>
    <row r="57" spans="2:12" ht="15.75" customHeight="1">
      <c r="B57" s="129" t="s">
        <v>634</v>
      </c>
      <c r="C57" s="130" t="s">
        <v>994</v>
      </c>
      <c r="D57" s="472">
        <v>50</v>
      </c>
      <c r="E57" s="150">
        <v>50</v>
      </c>
      <c r="F57" s="150">
        <v>0</v>
      </c>
      <c r="G57" s="151"/>
      <c r="H57" s="151"/>
      <c r="I57" s="151"/>
      <c r="J57" s="151"/>
      <c r="K57" s="151"/>
      <c r="L57" s="151"/>
    </row>
    <row r="58" spans="2:12" ht="15.75" customHeight="1">
      <c r="B58" s="129" t="s">
        <v>635</v>
      </c>
      <c r="C58" s="130" t="s">
        <v>994</v>
      </c>
      <c r="D58" s="131">
        <v>800</v>
      </c>
      <c r="E58" s="150">
        <v>800</v>
      </c>
      <c r="F58" s="150">
        <v>634</v>
      </c>
      <c r="G58" s="151"/>
      <c r="H58" s="151"/>
      <c r="I58" s="151"/>
      <c r="J58" s="151"/>
      <c r="K58" s="151"/>
      <c r="L58" s="151"/>
    </row>
    <row r="59" spans="2:12" ht="15.75" customHeight="1">
      <c r="B59" s="129" t="s">
        <v>636</v>
      </c>
      <c r="C59" s="130" t="s">
        <v>994</v>
      </c>
      <c r="D59" s="131">
        <v>0</v>
      </c>
      <c r="E59" s="449">
        <v>0</v>
      </c>
      <c r="F59" s="449">
        <v>0</v>
      </c>
      <c r="G59" s="151"/>
      <c r="H59" s="151"/>
      <c r="I59" s="151"/>
      <c r="J59" s="151"/>
      <c r="K59" s="151"/>
      <c r="L59" s="151"/>
    </row>
    <row r="60" spans="2:12" ht="15.75" customHeight="1">
      <c r="B60" s="129" t="s">
        <v>637</v>
      </c>
      <c r="C60" s="130" t="s">
        <v>994</v>
      </c>
      <c r="D60" s="131">
        <v>245</v>
      </c>
      <c r="E60" s="150">
        <v>245</v>
      </c>
      <c r="F60" s="150">
        <v>245</v>
      </c>
      <c r="G60" s="151"/>
      <c r="H60" s="151"/>
      <c r="I60" s="151"/>
      <c r="J60" s="151"/>
      <c r="K60" s="151"/>
      <c r="L60" s="151"/>
    </row>
    <row r="61" spans="2:12" ht="15.75" customHeight="1">
      <c r="B61" s="129" t="s">
        <v>638</v>
      </c>
      <c r="C61" s="450" t="s">
        <v>644</v>
      </c>
      <c r="D61" s="131">
        <v>3</v>
      </c>
      <c r="E61" s="150">
        <v>3</v>
      </c>
      <c r="F61" s="473">
        <v>2.5</v>
      </c>
      <c r="G61" s="151"/>
      <c r="H61" s="151"/>
      <c r="I61" s="151"/>
      <c r="J61" s="151"/>
      <c r="K61" s="151"/>
      <c r="L61" s="151"/>
    </row>
    <row r="62" spans="2:12" ht="15.75" customHeight="1">
      <c r="B62" s="129" t="s">
        <v>640</v>
      </c>
      <c r="C62" s="450" t="s">
        <v>641</v>
      </c>
      <c r="D62" s="131">
        <v>27222</v>
      </c>
      <c r="E62" s="150">
        <v>27222</v>
      </c>
      <c r="F62" s="150">
        <v>23556</v>
      </c>
      <c r="G62" s="151"/>
      <c r="H62" s="151"/>
      <c r="I62" s="151"/>
      <c r="J62" s="151"/>
      <c r="K62" s="151"/>
      <c r="L62" s="151"/>
    </row>
    <row r="63" spans="2:12" ht="15.75" customHeight="1">
      <c r="B63" s="135" t="s">
        <v>986</v>
      </c>
      <c r="C63" s="130" t="s">
        <v>994</v>
      </c>
      <c r="D63" s="136">
        <v>750</v>
      </c>
      <c r="E63" s="154">
        <v>750</v>
      </c>
      <c r="F63" s="154">
        <v>750</v>
      </c>
      <c r="G63" s="151"/>
      <c r="H63" s="151"/>
      <c r="I63" s="151"/>
      <c r="J63" s="151"/>
      <c r="K63" s="151"/>
      <c r="L63" s="151"/>
    </row>
    <row r="64" spans="2:12" ht="15.75" customHeight="1">
      <c r="B64" s="135" t="s">
        <v>811</v>
      </c>
      <c r="C64" s="130" t="s">
        <v>994</v>
      </c>
      <c r="D64" s="136">
        <v>750</v>
      </c>
      <c r="E64" s="137">
        <v>750</v>
      </c>
      <c r="F64" s="137">
        <v>750</v>
      </c>
      <c r="G64" s="151"/>
      <c r="H64" s="151"/>
      <c r="I64" s="151"/>
      <c r="J64" s="151"/>
      <c r="K64" s="151"/>
      <c r="L64" s="151"/>
    </row>
    <row r="65" spans="2:12" ht="15.75" customHeight="1">
      <c r="B65" s="135" t="s">
        <v>988</v>
      </c>
      <c r="C65" s="130" t="s">
        <v>994</v>
      </c>
      <c r="D65" s="136">
        <v>750</v>
      </c>
      <c r="E65" s="137">
        <v>750</v>
      </c>
      <c r="F65" s="137">
        <v>750</v>
      </c>
      <c r="G65" s="151"/>
      <c r="H65" s="151"/>
      <c r="I65" s="151"/>
      <c r="J65" s="151"/>
      <c r="K65" s="151"/>
      <c r="L65" s="151"/>
    </row>
    <row r="66" spans="2:12" ht="15.75" customHeight="1">
      <c r="B66" s="135" t="s">
        <v>985</v>
      </c>
      <c r="C66" s="130" t="s">
        <v>994</v>
      </c>
      <c r="D66" s="136">
        <v>0</v>
      </c>
      <c r="E66" s="154">
        <v>0</v>
      </c>
      <c r="F66" s="154">
        <v>0</v>
      </c>
      <c r="G66" s="151"/>
      <c r="H66" s="151"/>
      <c r="I66" s="151"/>
      <c r="J66" s="151"/>
      <c r="K66" s="151"/>
      <c r="L66" s="151"/>
    </row>
    <row r="67" spans="2:12" ht="15.75" customHeight="1">
      <c r="B67" s="135" t="s">
        <v>987</v>
      </c>
      <c r="C67" s="130" t="s">
        <v>994</v>
      </c>
      <c r="D67" s="136">
        <v>0</v>
      </c>
      <c r="E67" s="154">
        <v>0</v>
      </c>
      <c r="F67" s="154">
        <v>0</v>
      </c>
      <c r="G67" s="151"/>
      <c r="H67" s="151"/>
      <c r="I67" s="151"/>
      <c r="J67" s="151"/>
      <c r="K67" s="151"/>
      <c r="L67" s="151"/>
    </row>
    <row r="68" spans="2:6" ht="15.75" customHeight="1">
      <c r="B68" s="129" t="s">
        <v>992</v>
      </c>
      <c r="C68" s="130" t="s">
        <v>994</v>
      </c>
      <c r="D68" s="131">
        <v>0</v>
      </c>
      <c r="E68" s="150">
        <v>0</v>
      </c>
      <c r="F68" s="150">
        <v>116</v>
      </c>
    </row>
    <row r="69" spans="2:6" ht="15.75" customHeight="1">
      <c r="B69" s="451" t="s">
        <v>1000</v>
      </c>
      <c r="C69" s="454" t="s">
        <v>644</v>
      </c>
      <c r="D69" s="453">
        <v>30</v>
      </c>
      <c r="E69" s="155">
        <v>30</v>
      </c>
      <c r="F69" s="155">
        <v>35</v>
      </c>
    </row>
    <row r="70" spans="2:6" ht="15.75" customHeight="1" thickBot="1">
      <c r="B70" s="139" t="s">
        <v>642</v>
      </c>
      <c r="C70" s="440" t="s">
        <v>641</v>
      </c>
      <c r="D70" s="455">
        <v>10000</v>
      </c>
      <c r="E70" s="157">
        <v>10000</v>
      </c>
      <c r="F70" s="157">
        <v>666</v>
      </c>
    </row>
    <row r="71" ht="15.75" customHeight="1"/>
    <row r="72" ht="15.75" customHeight="1"/>
    <row r="73" ht="15.75" customHeight="1"/>
    <row r="74" ht="15.75" customHeight="1"/>
    <row r="75" ht="15.75" customHeight="1"/>
  </sheetData>
  <sheetProtection/>
  <mergeCells count="1">
    <mergeCell ref="B4:E4"/>
  </mergeCells>
  <printOptions/>
  <pageMargins left="0.73" right="0.78" top="0.64" bottom="0.47" header="0.4" footer="0.38"/>
  <pageSetup horizontalDpi="600" verticalDpi="600" orientation="portrait" paperSize="9" scale="89" r:id="rId1"/>
  <rowBreaks count="1" manualBreakCount="1">
    <brk id="51" max="255" man="1"/>
  </rowBreaks>
  <colBreaks count="2" manualBreakCount="2">
    <brk id="6" max="65535" man="1"/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36"/>
  <sheetViews>
    <sheetView showGridLines="0" workbookViewId="0" topLeftCell="L232">
      <selection activeCell="A259" sqref="A259"/>
    </sheetView>
  </sheetViews>
  <sheetFormatPr defaultColWidth="9.00390625" defaultRowHeight="20.25" customHeight="1"/>
  <cols>
    <col min="1" max="1" width="9.625" style="431" customWidth="1"/>
    <col min="2" max="2" width="38.625" style="431" customWidth="1"/>
    <col min="3" max="4" width="7.125" style="431" customWidth="1"/>
    <col min="5" max="6" width="10.75390625" style="431" customWidth="1"/>
    <col min="7" max="7" width="13.875" style="431" customWidth="1"/>
    <col min="8" max="8" width="4.75390625" style="431" hidden="1" customWidth="1"/>
    <col min="9" max="9" width="10.875" style="431" hidden="1" customWidth="1"/>
    <col min="10" max="10" width="14.625" style="431" customWidth="1"/>
    <col min="11" max="16384" width="9.125" style="496" customWidth="1"/>
  </cols>
  <sheetData>
    <row r="1" spans="1:10" s="500" customFormat="1" ht="20.25" customHeight="1">
      <c r="A1" s="941" t="s">
        <v>167</v>
      </c>
      <c r="B1" s="900"/>
      <c r="C1" s="382"/>
      <c r="D1" s="382"/>
      <c r="E1" s="383"/>
      <c r="F1" s="383"/>
      <c r="G1" s="383"/>
      <c r="H1" s="383"/>
      <c r="I1" s="383"/>
      <c r="J1" s="1028" t="s">
        <v>239</v>
      </c>
    </row>
    <row r="2" spans="1:9" s="500" customFormat="1" ht="20.25" customHeight="1">
      <c r="A2" s="381"/>
      <c r="B2" s="381"/>
      <c r="C2" s="381"/>
      <c r="D2" s="381"/>
      <c r="E2" s="381"/>
      <c r="F2" s="381"/>
      <c r="G2" s="381"/>
      <c r="H2" s="381"/>
      <c r="I2" s="381"/>
    </row>
    <row r="3" spans="1:10" s="500" customFormat="1" ht="20.25" customHeight="1">
      <c r="A3" s="1391" t="s">
        <v>1003</v>
      </c>
      <c r="B3" s="1391"/>
      <c r="C3" s="1391"/>
      <c r="D3" s="1391"/>
      <c r="E3" s="1391"/>
      <c r="F3" s="1391"/>
      <c r="G3" s="1391"/>
      <c r="H3" s="386"/>
      <c r="I3" s="386"/>
      <c r="J3" s="387" t="s">
        <v>1004</v>
      </c>
    </row>
    <row r="4" spans="1:10" s="574" customFormat="1" ht="20.25" customHeight="1" thickBot="1">
      <c r="A4" s="382"/>
      <c r="B4" s="381"/>
      <c r="C4" s="382"/>
      <c r="D4" s="382"/>
      <c r="E4" s="383"/>
      <c r="F4" s="383"/>
      <c r="G4" s="384"/>
      <c r="H4" s="383"/>
      <c r="I4" s="387"/>
      <c r="J4" s="8" t="s">
        <v>254</v>
      </c>
    </row>
    <row r="5" spans="1:11" s="602" customFormat="1" ht="20.25" customHeight="1">
      <c r="A5" s="903" t="s">
        <v>833</v>
      </c>
      <c r="B5" s="904"/>
      <c r="C5" s="905" t="s">
        <v>267</v>
      </c>
      <c r="D5" s="905" t="s">
        <v>834</v>
      </c>
      <c r="E5" s="906" t="s">
        <v>835</v>
      </c>
      <c r="F5" s="906" t="s">
        <v>836</v>
      </c>
      <c r="G5" s="907" t="s">
        <v>837</v>
      </c>
      <c r="H5" s="908"/>
      <c r="I5" s="907"/>
      <c r="J5" s="909" t="s">
        <v>838</v>
      </c>
      <c r="K5" s="901"/>
    </row>
    <row r="6" spans="1:11" s="602" customFormat="1" ht="20.25" customHeight="1">
      <c r="A6" s="910" t="s">
        <v>839</v>
      </c>
      <c r="B6" s="608" t="s">
        <v>840</v>
      </c>
      <c r="C6" s="607" t="s">
        <v>841</v>
      </c>
      <c r="D6" s="607" t="s">
        <v>842</v>
      </c>
      <c r="E6" s="609" t="s">
        <v>843</v>
      </c>
      <c r="F6" s="609" t="s">
        <v>844</v>
      </c>
      <c r="G6" s="610" t="s">
        <v>845</v>
      </c>
      <c r="H6" s="611"/>
      <c r="I6" s="610"/>
      <c r="J6" s="911" t="s">
        <v>845</v>
      </c>
      <c r="K6" s="901"/>
    </row>
    <row r="7" spans="1:11" s="602" customFormat="1" ht="20.25" customHeight="1" thickBot="1">
      <c r="A7" s="1074"/>
      <c r="B7" s="1075"/>
      <c r="C7" s="1076"/>
      <c r="D7" s="1076"/>
      <c r="E7" s="1077" t="s">
        <v>846</v>
      </c>
      <c r="F7" s="1077">
        <v>2007</v>
      </c>
      <c r="G7" s="1078" t="s">
        <v>1005</v>
      </c>
      <c r="H7" s="1079"/>
      <c r="I7" s="1078"/>
      <c r="J7" s="1080" t="s">
        <v>1005</v>
      </c>
      <c r="K7" s="901"/>
    </row>
    <row r="8" spans="1:11" s="602" customFormat="1" ht="20.25" customHeight="1">
      <c r="A8" s="1068" t="s">
        <v>772</v>
      </c>
      <c r="B8" s="1069" t="s">
        <v>1129</v>
      </c>
      <c r="C8" s="1070"/>
      <c r="D8" s="1070"/>
      <c r="E8" s="1071">
        <f>E9+E15</f>
        <v>9676</v>
      </c>
      <c r="F8" s="1071">
        <f>SUM(F9+F15)</f>
        <v>7301</v>
      </c>
      <c r="G8" s="1072">
        <f>SUM(G9+G15)</f>
        <v>37</v>
      </c>
      <c r="H8" s="1071"/>
      <c r="I8" s="1072"/>
      <c r="J8" s="1073">
        <f>SUM(J9+J15)</f>
        <v>594</v>
      </c>
      <c r="K8" s="901"/>
    </row>
    <row r="9" spans="1:11" s="602" customFormat="1" ht="20.25" customHeight="1">
      <c r="A9" s="914">
        <v>9801</v>
      </c>
      <c r="B9" s="393" t="s">
        <v>847</v>
      </c>
      <c r="C9" s="394" t="s">
        <v>848</v>
      </c>
      <c r="D9" s="394" t="s">
        <v>849</v>
      </c>
      <c r="E9" s="395">
        <v>7129</v>
      </c>
      <c r="F9" s="395">
        <v>4816</v>
      </c>
      <c r="G9" s="396">
        <v>0</v>
      </c>
      <c r="H9" s="395"/>
      <c r="I9" s="396"/>
      <c r="J9" s="915">
        <v>535</v>
      </c>
      <c r="K9" s="1107"/>
    </row>
    <row r="10" spans="1:11" s="602" customFormat="1" ht="20.25" customHeight="1">
      <c r="A10" s="916"/>
      <c r="B10" s="397" t="s">
        <v>850</v>
      </c>
      <c r="C10" s="398"/>
      <c r="D10" s="398"/>
      <c r="E10" s="399">
        <v>6547</v>
      </c>
      <c r="F10" s="399">
        <v>4358</v>
      </c>
      <c r="G10" s="400">
        <v>0</v>
      </c>
      <c r="H10" s="399"/>
      <c r="I10" s="400"/>
      <c r="J10" s="917">
        <v>443</v>
      </c>
      <c r="K10" s="901"/>
    </row>
    <row r="11" spans="1:11" s="602" customFormat="1" ht="20.25" customHeight="1">
      <c r="A11" s="916"/>
      <c r="B11" s="397" t="s">
        <v>1136</v>
      </c>
      <c r="C11" s="398"/>
      <c r="D11" s="398"/>
      <c r="E11" s="399">
        <v>308</v>
      </c>
      <c r="F11" s="399">
        <v>234</v>
      </c>
      <c r="G11" s="400">
        <v>0</v>
      </c>
      <c r="H11" s="399"/>
      <c r="I11" s="400"/>
      <c r="J11" s="917">
        <v>0</v>
      </c>
      <c r="K11" s="901"/>
    </row>
    <row r="12" spans="1:11" s="602" customFormat="1" ht="20.25" customHeight="1">
      <c r="A12" s="916"/>
      <c r="B12" s="397" t="s">
        <v>1137</v>
      </c>
      <c r="C12" s="398"/>
      <c r="D12" s="398"/>
      <c r="E12" s="399">
        <v>274</v>
      </c>
      <c r="F12" s="399">
        <v>224</v>
      </c>
      <c r="G12" s="400">
        <v>0</v>
      </c>
      <c r="H12" s="399"/>
      <c r="I12" s="400"/>
      <c r="J12" s="917">
        <v>92</v>
      </c>
      <c r="K12" s="901"/>
    </row>
    <row r="13" spans="1:11" s="602" customFormat="1" ht="20.25" customHeight="1">
      <c r="A13" s="916"/>
      <c r="B13" s="397" t="s">
        <v>1138</v>
      </c>
      <c r="C13" s="398"/>
      <c r="D13" s="398"/>
      <c r="E13" s="399">
        <v>264</v>
      </c>
      <c r="F13" s="399">
        <v>214</v>
      </c>
      <c r="G13" s="400">
        <v>0</v>
      </c>
      <c r="H13" s="399"/>
      <c r="I13" s="400"/>
      <c r="J13" s="917">
        <v>92</v>
      </c>
      <c r="K13" s="901"/>
    </row>
    <row r="14" spans="1:11" s="602" customFormat="1" ht="20.25" customHeight="1">
      <c r="A14" s="916"/>
      <c r="B14" s="397" t="s">
        <v>1139</v>
      </c>
      <c r="C14" s="398"/>
      <c r="D14" s="398"/>
      <c r="E14" s="399">
        <v>10</v>
      </c>
      <c r="F14" s="399">
        <v>10</v>
      </c>
      <c r="G14" s="400">
        <v>0</v>
      </c>
      <c r="H14" s="399"/>
      <c r="I14" s="400"/>
      <c r="J14" s="917">
        <v>0</v>
      </c>
      <c r="K14" s="901"/>
    </row>
    <row r="15" spans="1:11" s="602" customFormat="1" ht="20.25" customHeight="1">
      <c r="A15" s="918" t="s">
        <v>851</v>
      </c>
      <c r="B15" s="401" t="s">
        <v>852</v>
      </c>
      <c r="C15" s="402" t="s">
        <v>853</v>
      </c>
      <c r="D15" s="402" t="s">
        <v>854</v>
      </c>
      <c r="E15" s="403">
        <v>2547</v>
      </c>
      <c r="F15" s="403">
        <v>2485</v>
      </c>
      <c r="G15" s="404">
        <v>37</v>
      </c>
      <c r="H15" s="403"/>
      <c r="I15" s="404"/>
      <c r="J15" s="919">
        <v>59</v>
      </c>
      <c r="K15" s="1107"/>
    </row>
    <row r="16" spans="1:11" s="602" customFormat="1" ht="20.25" customHeight="1">
      <c r="A16" s="916"/>
      <c r="B16" s="397" t="s">
        <v>1140</v>
      </c>
      <c r="C16" s="398"/>
      <c r="D16" s="398"/>
      <c r="E16" s="399">
        <v>2459</v>
      </c>
      <c r="F16" s="399">
        <v>2399</v>
      </c>
      <c r="G16" s="400">
        <v>36</v>
      </c>
      <c r="H16" s="399"/>
      <c r="I16" s="400"/>
      <c r="J16" s="917">
        <v>58</v>
      </c>
      <c r="K16" s="901"/>
    </row>
    <row r="17" spans="1:11" s="602" customFormat="1" ht="20.25" customHeight="1">
      <c r="A17" s="916"/>
      <c r="B17" s="397" t="s">
        <v>1141</v>
      </c>
      <c r="C17" s="398"/>
      <c r="D17" s="398"/>
      <c r="E17" s="399">
        <v>0</v>
      </c>
      <c r="F17" s="399">
        <v>0</v>
      </c>
      <c r="G17" s="400">
        <v>0</v>
      </c>
      <c r="H17" s="399"/>
      <c r="I17" s="400"/>
      <c r="J17" s="917">
        <v>0</v>
      </c>
      <c r="K17" s="901"/>
    </row>
    <row r="18" spans="1:11" s="602" customFormat="1" ht="20.25" customHeight="1">
      <c r="A18" s="916"/>
      <c r="B18" s="397" t="s">
        <v>1142</v>
      </c>
      <c r="C18" s="398"/>
      <c r="D18" s="398"/>
      <c r="E18" s="399">
        <v>88</v>
      </c>
      <c r="F18" s="399">
        <v>86</v>
      </c>
      <c r="G18" s="400">
        <v>1</v>
      </c>
      <c r="H18" s="399"/>
      <c r="I18" s="400"/>
      <c r="J18" s="917">
        <v>1</v>
      </c>
      <c r="K18" s="901"/>
    </row>
    <row r="19" spans="1:11" s="602" customFormat="1" ht="20.25" customHeight="1">
      <c r="A19" s="916"/>
      <c r="B19" s="397" t="s">
        <v>1143</v>
      </c>
      <c r="C19" s="398"/>
      <c r="D19" s="398"/>
      <c r="E19" s="399">
        <v>88</v>
      </c>
      <c r="F19" s="399">
        <v>86</v>
      </c>
      <c r="G19" s="400">
        <v>1</v>
      </c>
      <c r="H19" s="399"/>
      <c r="I19" s="400"/>
      <c r="J19" s="917">
        <v>1</v>
      </c>
      <c r="K19" s="901"/>
    </row>
    <row r="20" spans="1:11" s="602" customFormat="1" ht="20.25" customHeight="1">
      <c r="A20" s="916"/>
      <c r="B20" s="397" t="s">
        <v>1139</v>
      </c>
      <c r="C20" s="398"/>
      <c r="D20" s="398"/>
      <c r="E20" s="399">
        <v>0</v>
      </c>
      <c r="F20" s="399">
        <v>0</v>
      </c>
      <c r="G20" s="400">
        <v>0</v>
      </c>
      <c r="H20" s="399"/>
      <c r="I20" s="400"/>
      <c r="J20" s="917">
        <v>0</v>
      </c>
      <c r="K20" s="901"/>
    </row>
    <row r="21" spans="1:11" s="602" customFormat="1" ht="20.25" customHeight="1">
      <c r="A21" s="920" t="s">
        <v>855</v>
      </c>
      <c r="B21" s="405" t="s">
        <v>856</v>
      </c>
      <c r="C21" s="390"/>
      <c r="D21" s="390"/>
      <c r="E21" s="391">
        <f>E22+E28+E34+E40+E46+E59+E65+E71</f>
        <v>51401</v>
      </c>
      <c r="F21" s="391">
        <f>F22+F28+F34+F40+F46+F59+F65+F71</f>
        <v>49010</v>
      </c>
      <c r="G21" s="392">
        <f>G22+G28+G34+G40+G46+G59+G65+G71</f>
        <v>1108</v>
      </c>
      <c r="H21" s="391"/>
      <c r="I21" s="392"/>
      <c r="J21" s="913">
        <f>J22+J28+J34+J40+J46+J59+J65+J71</f>
        <v>5095</v>
      </c>
      <c r="K21" s="901"/>
    </row>
    <row r="22" spans="1:11" s="602" customFormat="1" ht="20.25" customHeight="1">
      <c r="A22" s="921" t="s">
        <v>857</v>
      </c>
      <c r="B22" s="406" t="s">
        <v>858</v>
      </c>
      <c r="C22" s="407" t="s">
        <v>859</v>
      </c>
      <c r="D22" s="407" t="s">
        <v>860</v>
      </c>
      <c r="E22" s="408">
        <v>14599</v>
      </c>
      <c r="F22" s="408">
        <v>13680</v>
      </c>
      <c r="G22" s="409">
        <v>172</v>
      </c>
      <c r="H22" s="479"/>
      <c r="I22" s="409"/>
      <c r="J22" s="922">
        <v>242</v>
      </c>
      <c r="K22" s="1107"/>
    </row>
    <row r="23" spans="1:11" s="602" customFormat="1" ht="20.25" customHeight="1">
      <c r="A23" s="916"/>
      <c r="B23" s="397" t="s">
        <v>1140</v>
      </c>
      <c r="C23" s="398"/>
      <c r="D23" s="398"/>
      <c r="E23" s="399">
        <v>13940</v>
      </c>
      <c r="F23" s="399">
        <v>13235</v>
      </c>
      <c r="G23" s="400">
        <v>161</v>
      </c>
      <c r="H23" s="399"/>
      <c r="I23" s="400"/>
      <c r="J23" s="917">
        <v>161</v>
      </c>
      <c r="K23" s="901"/>
    </row>
    <row r="24" spans="1:11" s="602" customFormat="1" ht="20.25" customHeight="1">
      <c r="A24" s="916"/>
      <c r="B24" s="397" t="s">
        <v>1136</v>
      </c>
      <c r="C24" s="398"/>
      <c r="D24" s="398"/>
      <c r="E24" s="399">
        <v>341</v>
      </c>
      <c r="F24" s="399">
        <v>227</v>
      </c>
      <c r="G24" s="400">
        <v>0</v>
      </c>
      <c r="H24" s="399"/>
      <c r="I24" s="400"/>
      <c r="J24" s="917">
        <v>75</v>
      </c>
      <c r="K24" s="901"/>
    </row>
    <row r="25" spans="1:11" s="602" customFormat="1" ht="20.25" customHeight="1">
      <c r="A25" s="916"/>
      <c r="B25" s="397" t="s">
        <v>1137</v>
      </c>
      <c r="C25" s="398"/>
      <c r="D25" s="398"/>
      <c r="E25" s="399">
        <v>318</v>
      </c>
      <c r="F25" s="399">
        <v>218</v>
      </c>
      <c r="G25" s="400">
        <v>6</v>
      </c>
      <c r="H25" s="399"/>
      <c r="I25" s="400"/>
      <c r="J25" s="917">
        <v>6</v>
      </c>
      <c r="K25" s="901"/>
    </row>
    <row r="26" spans="1:11" s="602" customFormat="1" ht="20.25" customHeight="1">
      <c r="A26" s="916"/>
      <c r="B26" s="397" t="s">
        <v>1144</v>
      </c>
      <c r="C26" s="398"/>
      <c r="D26" s="398"/>
      <c r="E26" s="399">
        <v>288</v>
      </c>
      <c r="F26" s="399">
        <v>196</v>
      </c>
      <c r="G26" s="400">
        <v>6</v>
      </c>
      <c r="H26" s="399"/>
      <c r="I26" s="400"/>
      <c r="J26" s="917">
        <v>6</v>
      </c>
      <c r="K26" s="901"/>
    </row>
    <row r="27" spans="1:11" s="602" customFormat="1" ht="20.25" customHeight="1">
      <c r="A27" s="916"/>
      <c r="B27" s="397" t="s">
        <v>1139</v>
      </c>
      <c r="C27" s="398"/>
      <c r="D27" s="398"/>
      <c r="E27" s="399">
        <v>30</v>
      </c>
      <c r="F27" s="399">
        <v>22</v>
      </c>
      <c r="G27" s="400">
        <v>0</v>
      </c>
      <c r="H27" s="399"/>
      <c r="I27" s="400"/>
      <c r="J27" s="917">
        <v>0</v>
      </c>
      <c r="K27" s="901"/>
    </row>
    <row r="28" spans="1:11" s="602" customFormat="1" ht="20.25" customHeight="1">
      <c r="A28" s="921" t="s">
        <v>861</v>
      </c>
      <c r="B28" s="406" t="s">
        <v>862</v>
      </c>
      <c r="C28" s="407" t="s">
        <v>863</v>
      </c>
      <c r="D28" s="407" t="s">
        <v>864</v>
      </c>
      <c r="E28" s="408">
        <v>27911</v>
      </c>
      <c r="F28" s="408">
        <v>26439</v>
      </c>
      <c r="G28" s="409">
        <v>27</v>
      </c>
      <c r="H28" s="479"/>
      <c r="I28" s="409"/>
      <c r="J28" s="922">
        <v>347</v>
      </c>
      <c r="K28" s="1107"/>
    </row>
    <row r="29" spans="1:11" s="602" customFormat="1" ht="20.25" customHeight="1">
      <c r="A29" s="916"/>
      <c r="B29" s="397" t="s">
        <v>1140</v>
      </c>
      <c r="C29" s="398"/>
      <c r="D29" s="398"/>
      <c r="E29" s="399">
        <v>26679</v>
      </c>
      <c r="F29" s="399">
        <v>25252</v>
      </c>
      <c r="G29" s="400">
        <v>27</v>
      </c>
      <c r="H29" s="399"/>
      <c r="I29" s="400"/>
      <c r="J29" s="917">
        <v>27</v>
      </c>
      <c r="K29" s="901"/>
    </row>
    <row r="30" spans="1:11" s="602" customFormat="1" ht="20.25" customHeight="1">
      <c r="A30" s="916"/>
      <c r="B30" s="397" t="s">
        <v>1141</v>
      </c>
      <c r="C30" s="398"/>
      <c r="D30" s="398"/>
      <c r="E30" s="399">
        <v>661</v>
      </c>
      <c r="F30" s="399">
        <v>661</v>
      </c>
      <c r="G30" s="400">
        <v>0</v>
      </c>
      <c r="H30" s="399"/>
      <c r="I30" s="400"/>
      <c r="J30" s="917">
        <v>296</v>
      </c>
      <c r="K30" s="901"/>
    </row>
    <row r="31" spans="1:11" s="602" customFormat="1" ht="20.25" customHeight="1">
      <c r="A31" s="916"/>
      <c r="B31" s="397" t="s">
        <v>1142</v>
      </c>
      <c r="C31" s="398"/>
      <c r="D31" s="398"/>
      <c r="E31" s="399">
        <v>571</v>
      </c>
      <c r="F31" s="399">
        <v>526</v>
      </c>
      <c r="G31" s="400">
        <v>0</v>
      </c>
      <c r="H31" s="399"/>
      <c r="I31" s="400"/>
      <c r="J31" s="917">
        <v>24</v>
      </c>
      <c r="K31" s="901"/>
    </row>
    <row r="32" spans="1:11" s="602" customFormat="1" ht="20.25" customHeight="1">
      <c r="A32" s="916"/>
      <c r="B32" s="397" t="s">
        <v>1143</v>
      </c>
      <c r="C32" s="398"/>
      <c r="D32" s="398"/>
      <c r="E32" s="399">
        <v>461</v>
      </c>
      <c r="F32" s="399">
        <v>416</v>
      </c>
      <c r="G32" s="400">
        <v>0</v>
      </c>
      <c r="H32" s="399"/>
      <c r="I32" s="400"/>
      <c r="J32" s="917">
        <v>24</v>
      </c>
      <c r="K32" s="901"/>
    </row>
    <row r="33" spans="1:11" s="602" customFormat="1" ht="20.25" customHeight="1">
      <c r="A33" s="916"/>
      <c r="B33" s="397" t="s">
        <v>1139</v>
      </c>
      <c r="C33" s="398"/>
      <c r="D33" s="398"/>
      <c r="E33" s="399">
        <v>110</v>
      </c>
      <c r="F33" s="399">
        <v>110</v>
      </c>
      <c r="G33" s="400">
        <v>0</v>
      </c>
      <c r="H33" s="399"/>
      <c r="I33" s="400"/>
      <c r="J33" s="917">
        <v>0</v>
      </c>
      <c r="K33" s="901"/>
    </row>
    <row r="34" spans="1:11" s="602" customFormat="1" ht="20.25" customHeight="1">
      <c r="A34" s="918" t="s">
        <v>865</v>
      </c>
      <c r="B34" s="410" t="s">
        <v>866</v>
      </c>
      <c r="C34" s="402" t="s">
        <v>867</v>
      </c>
      <c r="D34" s="402" t="s">
        <v>868</v>
      </c>
      <c r="E34" s="411">
        <v>1858</v>
      </c>
      <c r="F34" s="411">
        <v>1858</v>
      </c>
      <c r="G34" s="412">
        <v>697</v>
      </c>
      <c r="H34" s="480"/>
      <c r="I34" s="412"/>
      <c r="J34" s="923">
        <v>697</v>
      </c>
      <c r="K34" s="1107"/>
    </row>
    <row r="35" spans="1:11" s="602" customFormat="1" ht="20.25" customHeight="1">
      <c r="A35" s="916"/>
      <c r="B35" s="397" t="s">
        <v>1140</v>
      </c>
      <c r="C35" s="398"/>
      <c r="D35" s="398"/>
      <c r="E35" s="399">
        <v>1791</v>
      </c>
      <c r="F35" s="399">
        <v>1791</v>
      </c>
      <c r="G35" s="400">
        <v>660</v>
      </c>
      <c r="H35" s="399"/>
      <c r="I35" s="400"/>
      <c r="J35" s="917">
        <v>660</v>
      </c>
      <c r="K35" s="901"/>
    </row>
    <row r="36" spans="1:11" s="602" customFormat="1" ht="20.25" customHeight="1">
      <c r="A36" s="916"/>
      <c r="B36" s="397" t="s">
        <v>1136</v>
      </c>
      <c r="C36" s="398"/>
      <c r="D36" s="398"/>
      <c r="E36" s="399">
        <v>16</v>
      </c>
      <c r="F36" s="399">
        <v>16</v>
      </c>
      <c r="G36" s="400">
        <v>0</v>
      </c>
      <c r="H36" s="399"/>
      <c r="I36" s="400"/>
      <c r="J36" s="917">
        <v>0</v>
      </c>
      <c r="K36" s="901"/>
    </row>
    <row r="37" spans="1:11" s="602" customFormat="1" ht="20.25" customHeight="1">
      <c r="A37" s="916"/>
      <c r="B37" s="397" t="s">
        <v>1137</v>
      </c>
      <c r="C37" s="398"/>
      <c r="D37" s="398"/>
      <c r="E37" s="399">
        <v>51</v>
      </c>
      <c r="F37" s="399">
        <v>51</v>
      </c>
      <c r="G37" s="400">
        <v>37</v>
      </c>
      <c r="H37" s="399"/>
      <c r="I37" s="400"/>
      <c r="J37" s="917">
        <v>37</v>
      </c>
      <c r="K37" s="901"/>
    </row>
    <row r="38" spans="1:11" s="602" customFormat="1" ht="20.25" customHeight="1">
      <c r="A38" s="916"/>
      <c r="B38" s="397" t="s">
        <v>1144</v>
      </c>
      <c r="C38" s="398"/>
      <c r="D38" s="398"/>
      <c r="E38" s="399">
        <v>50</v>
      </c>
      <c r="F38" s="399">
        <v>50</v>
      </c>
      <c r="G38" s="400">
        <v>37</v>
      </c>
      <c r="H38" s="399"/>
      <c r="I38" s="400"/>
      <c r="J38" s="917">
        <v>37</v>
      </c>
      <c r="K38" s="901"/>
    </row>
    <row r="39" spans="1:11" s="602" customFormat="1" ht="20.25" customHeight="1">
      <c r="A39" s="916"/>
      <c r="B39" s="397" t="s">
        <v>1139</v>
      </c>
      <c r="C39" s="398"/>
      <c r="D39" s="398"/>
      <c r="E39" s="399">
        <v>1</v>
      </c>
      <c r="F39" s="399">
        <v>1</v>
      </c>
      <c r="G39" s="400">
        <v>0</v>
      </c>
      <c r="H39" s="399"/>
      <c r="I39" s="400"/>
      <c r="J39" s="917">
        <v>0</v>
      </c>
      <c r="K39" s="901"/>
    </row>
    <row r="40" spans="1:11" s="602" customFormat="1" ht="20.25" customHeight="1">
      <c r="A40" s="918" t="s">
        <v>869</v>
      </c>
      <c r="B40" s="401" t="s">
        <v>870</v>
      </c>
      <c r="C40" s="402" t="s">
        <v>871</v>
      </c>
      <c r="D40" s="402" t="s">
        <v>864</v>
      </c>
      <c r="E40" s="403">
        <v>1386</v>
      </c>
      <c r="F40" s="403">
        <v>1386</v>
      </c>
      <c r="G40" s="404">
        <v>0</v>
      </c>
      <c r="H40" s="403"/>
      <c r="I40" s="404"/>
      <c r="J40" s="919">
        <v>68</v>
      </c>
      <c r="K40" s="1107"/>
    </row>
    <row r="41" spans="1:11" s="602" customFormat="1" ht="20.25" customHeight="1">
      <c r="A41" s="916"/>
      <c r="B41" s="397" t="s">
        <v>1140</v>
      </c>
      <c r="C41" s="398"/>
      <c r="D41" s="398"/>
      <c r="E41" s="399">
        <v>1250</v>
      </c>
      <c r="F41" s="399">
        <v>1250</v>
      </c>
      <c r="G41" s="400">
        <v>0</v>
      </c>
      <c r="H41" s="399"/>
      <c r="I41" s="400"/>
      <c r="J41" s="917">
        <v>64</v>
      </c>
      <c r="K41" s="901"/>
    </row>
    <row r="42" spans="1:11" s="602" customFormat="1" ht="20.25" customHeight="1">
      <c r="A42" s="916"/>
      <c r="B42" s="397" t="s">
        <v>1141</v>
      </c>
      <c r="C42" s="398"/>
      <c r="D42" s="398"/>
      <c r="E42" s="399">
        <v>38</v>
      </c>
      <c r="F42" s="399">
        <v>38</v>
      </c>
      <c r="G42" s="400">
        <v>0</v>
      </c>
      <c r="H42" s="399"/>
      <c r="I42" s="400"/>
      <c r="J42" s="917">
        <v>0</v>
      </c>
      <c r="K42" s="901"/>
    </row>
    <row r="43" spans="1:11" s="602" customFormat="1" ht="20.25" customHeight="1">
      <c r="A43" s="916"/>
      <c r="B43" s="397" t="s">
        <v>1142</v>
      </c>
      <c r="C43" s="398"/>
      <c r="D43" s="398"/>
      <c r="E43" s="399">
        <v>98</v>
      </c>
      <c r="F43" s="399">
        <v>98</v>
      </c>
      <c r="G43" s="400">
        <v>0</v>
      </c>
      <c r="H43" s="399"/>
      <c r="I43" s="400"/>
      <c r="J43" s="917">
        <v>4</v>
      </c>
      <c r="K43" s="901"/>
    </row>
    <row r="44" spans="1:11" s="602" customFormat="1" ht="20.25" customHeight="1">
      <c r="A44" s="916"/>
      <c r="B44" s="397" t="s">
        <v>1143</v>
      </c>
      <c r="C44" s="398"/>
      <c r="D44" s="398"/>
      <c r="E44" s="399">
        <v>94</v>
      </c>
      <c r="F44" s="399">
        <v>94</v>
      </c>
      <c r="G44" s="400">
        <v>0</v>
      </c>
      <c r="H44" s="399"/>
      <c r="I44" s="400"/>
      <c r="J44" s="917">
        <v>4</v>
      </c>
      <c r="K44" s="901"/>
    </row>
    <row r="45" spans="1:11" s="602" customFormat="1" ht="20.25" customHeight="1">
      <c r="A45" s="916"/>
      <c r="B45" s="397" t="s">
        <v>1145</v>
      </c>
      <c r="C45" s="398"/>
      <c r="D45" s="398"/>
      <c r="E45" s="399">
        <v>4</v>
      </c>
      <c r="F45" s="399">
        <v>4</v>
      </c>
      <c r="G45" s="400">
        <v>0</v>
      </c>
      <c r="H45" s="399"/>
      <c r="I45" s="400"/>
      <c r="J45" s="917">
        <v>0</v>
      </c>
      <c r="K45" s="901"/>
    </row>
    <row r="46" spans="1:11" s="602" customFormat="1" ht="20.25" customHeight="1">
      <c r="A46" s="918" t="s">
        <v>872</v>
      </c>
      <c r="B46" s="401" t="s">
        <v>873</v>
      </c>
      <c r="C46" s="402" t="s">
        <v>874</v>
      </c>
      <c r="D46" s="402" t="s">
        <v>864</v>
      </c>
      <c r="E46" s="403">
        <v>234</v>
      </c>
      <c r="F46" s="403">
        <v>234</v>
      </c>
      <c r="G46" s="404">
        <v>0</v>
      </c>
      <c r="H46" s="403"/>
      <c r="I46" s="404"/>
      <c r="J46" s="919">
        <v>9</v>
      </c>
      <c r="K46" s="1107"/>
    </row>
    <row r="47" spans="1:11" s="602" customFormat="1" ht="20.25" customHeight="1">
      <c r="A47" s="916"/>
      <c r="B47" s="397" t="s">
        <v>1140</v>
      </c>
      <c r="C47" s="398"/>
      <c r="D47" s="398"/>
      <c r="E47" s="399">
        <v>225</v>
      </c>
      <c r="F47" s="399">
        <v>225</v>
      </c>
      <c r="G47" s="400">
        <v>0</v>
      </c>
      <c r="H47" s="399"/>
      <c r="I47" s="400"/>
      <c r="J47" s="917">
        <v>0</v>
      </c>
      <c r="K47" s="901"/>
    </row>
    <row r="48" spans="1:11" s="602" customFormat="1" ht="20.25" customHeight="1">
      <c r="A48" s="916"/>
      <c r="B48" s="397" t="s">
        <v>1141</v>
      </c>
      <c r="C48" s="398"/>
      <c r="D48" s="398"/>
      <c r="E48" s="399">
        <v>0</v>
      </c>
      <c r="F48" s="399">
        <v>0</v>
      </c>
      <c r="G48" s="400">
        <v>0</v>
      </c>
      <c r="H48" s="399"/>
      <c r="I48" s="400"/>
      <c r="J48" s="917">
        <v>0</v>
      </c>
      <c r="K48" s="901"/>
    </row>
    <row r="49" spans="1:11" s="602" customFormat="1" ht="20.25" customHeight="1">
      <c r="A49" s="916"/>
      <c r="B49" s="397" t="s">
        <v>1142</v>
      </c>
      <c r="C49" s="398"/>
      <c r="D49" s="398"/>
      <c r="E49" s="399">
        <v>9</v>
      </c>
      <c r="F49" s="399">
        <v>9</v>
      </c>
      <c r="G49" s="400">
        <v>0</v>
      </c>
      <c r="H49" s="399"/>
      <c r="I49" s="400"/>
      <c r="J49" s="917">
        <v>9</v>
      </c>
      <c r="K49" s="901"/>
    </row>
    <row r="50" spans="1:11" s="602" customFormat="1" ht="20.25" customHeight="1">
      <c r="A50" s="916"/>
      <c r="B50" s="397" t="s">
        <v>1143</v>
      </c>
      <c r="C50" s="398"/>
      <c r="D50" s="398"/>
      <c r="E50" s="399">
        <v>9</v>
      </c>
      <c r="F50" s="399">
        <v>9</v>
      </c>
      <c r="G50" s="400">
        <v>0</v>
      </c>
      <c r="H50" s="399"/>
      <c r="I50" s="400"/>
      <c r="J50" s="917">
        <v>9</v>
      </c>
      <c r="K50" s="901"/>
    </row>
    <row r="51" spans="1:11" s="602" customFormat="1" ht="20.25" customHeight="1" thickBot="1">
      <c r="A51" s="926"/>
      <c r="B51" s="927" t="s">
        <v>1139</v>
      </c>
      <c r="C51" s="928"/>
      <c r="D51" s="928"/>
      <c r="E51" s="929">
        <v>0</v>
      </c>
      <c r="F51" s="929">
        <v>0</v>
      </c>
      <c r="G51" s="930">
        <v>0</v>
      </c>
      <c r="H51" s="929"/>
      <c r="I51" s="930"/>
      <c r="J51" s="931">
        <v>0</v>
      </c>
      <c r="K51" s="901"/>
    </row>
    <row r="52" spans="1:10" s="603" customFormat="1" ht="20.25" customHeight="1">
      <c r="A52" s="941" t="s">
        <v>167</v>
      </c>
      <c r="B52" s="381"/>
      <c r="C52" s="382"/>
      <c r="D52" s="382"/>
      <c r="E52" s="383"/>
      <c r="F52" s="383"/>
      <c r="G52" s="383"/>
      <c r="H52" s="383"/>
      <c r="I52" s="383"/>
      <c r="J52" s="387"/>
    </row>
    <row r="53" spans="1:10" s="500" customFormat="1" ht="20.25" customHeight="1">
      <c r="A53" s="380"/>
      <c r="B53" s="381"/>
      <c r="C53" s="382"/>
      <c r="D53" s="382"/>
      <c r="E53" s="383"/>
      <c r="F53" s="383"/>
      <c r="G53" s="383"/>
      <c r="H53" s="383"/>
      <c r="I53" s="383"/>
      <c r="J53" s="383"/>
    </row>
    <row r="54" spans="1:10" s="500" customFormat="1" ht="20.25" customHeight="1">
      <c r="A54" s="477" t="s">
        <v>1003</v>
      </c>
      <c r="B54" s="384"/>
      <c r="C54" s="385"/>
      <c r="D54" s="385"/>
      <c r="E54" s="386"/>
      <c r="F54" s="386"/>
      <c r="G54" s="386"/>
      <c r="H54" s="386"/>
      <c r="I54" s="386"/>
      <c r="J54" s="387" t="s">
        <v>1004</v>
      </c>
    </row>
    <row r="55" spans="1:10" s="574" customFormat="1" ht="20.25" customHeight="1" thickBot="1">
      <c r="A55" s="380"/>
      <c r="B55" s="381"/>
      <c r="C55" s="382"/>
      <c r="D55" s="382"/>
      <c r="E55" s="383"/>
      <c r="F55" s="383"/>
      <c r="G55" s="384"/>
      <c r="H55" s="383"/>
      <c r="I55" s="387"/>
      <c r="J55" s="8" t="s">
        <v>255</v>
      </c>
    </row>
    <row r="56" spans="1:11" s="602" customFormat="1" ht="20.25" customHeight="1">
      <c r="A56" s="903" t="s">
        <v>833</v>
      </c>
      <c r="B56" s="904"/>
      <c r="C56" s="905" t="s">
        <v>267</v>
      </c>
      <c r="D56" s="905" t="s">
        <v>834</v>
      </c>
      <c r="E56" s="906" t="s">
        <v>835</v>
      </c>
      <c r="F56" s="906" t="s">
        <v>836</v>
      </c>
      <c r="G56" s="907" t="s">
        <v>837</v>
      </c>
      <c r="H56" s="908"/>
      <c r="I56" s="907"/>
      <c r="J56" s="909" t="s">
        <v>838</v>
      </c>
      <c r="K56" s="901"/>
    </row>
    <row r="57" spans="1:11" s="602" customFormat="1" ht="20.25" customHeight="1">
      <c r="A57" s="910" t="s">
        <v>839</v>
      </c>
      <c r="B57" s="608" t="s">
        <v>840</v>
      </c>
      <c r="C57" s="607" t="s">
        <v>841</v>
      </c>
      <c r="D57" s="607" t="s">
        <v>842</v>
      </c>
      <c r="E57" s="609" t="s">
        <v>843</v>
      </c>
      <c r="F57" s="609" t="s">
        <v>844</v>
      </c>
      <c r="G57" s="610" t="s">
        <v>845</v>
      </c>
      <c r="H57" s="611"/>
      <c r="I57" s="610"/>
      <c r="J57" s="911" t="s">
        <v>845</v>
      </c>
      <c r="K57" s="901"/>
    </row>
    <row r="58" spans="1:11" s="602" customFormat="1" ht="20.25" customHeight="1" thickBot="1">
      <c r="A58" s="1074"/>
      <c r="B58" s="1075"/>
      <c r="C58" s="1076"/>
      <c r="D58" s="1076"/>
      <c r="E58" s="1077" t="s">
        <v>846</v>
      </c>
      <c r="F58" s="1077">
        <v>2007</v>
      </c>
      <c r="G58" s="1078" t="s">
        <v>1005</v>
      </c>
      <c r="H58" s="1079"/>
      <c r="I58" s="1078"/>
      <c r="J58" s="1080" t="s">
        <v>1005</v>
      </c>
      <c r="K58" s="901"/>
    </row>
    <row r="59" spans="1:11" s="602" customFormat="1" ht="20.25" customHeight="1">
      <c r="A59" s="1081" t="s">
        <v>875</v>
      </c>
      <c r="B59" s="1082" t="s">
        <v>876</v>
      </c>
      <c r="C59" s="1083" t="s">
        <v>877</v>
      </c>
      <c r="D59" s="1083" t="s">
        <v>854</v>
      </c>
      <c r="E59" s="1084">
        <v>3653</v>
      </c>
      <c r="F59" s="1084">
        <v>3653</v>
      </c>
      <c r="G59" s="1085">
        <v>125</v>
      </c>
      <c r="H59" s="1086"/>
      <c r="I59" s="1085"/>
      <c r="J59" s="1087">
        <v>2909</v>
      </c>
      <c r="K59" s="1107"/>
    </row>
    <row r="60" spans="1:11" s="602" customFormat="1" ht="20.25" customHeight="1">
      <c r="A60" s="916"/>
      <c r="B60" s="397" t="s">
        <v>1140</v>
      </c>
      <c r="C60" s="398"/>
      <c r="D60" s="398"/>
      <c r="E60" s="399">
        <v>3460</v>
      </c>
      <c r="F60" s="413">
        <v>3460</v>
      </c>
      <c r="G60" s="414">
        <v>121</v>
      </c>
      <c r="H60" s="399"/>
      <c r="I60" s="414"/>
      <c r="J60" s="924">
        <v>2805</v>
      </c>
      <c r="K60" s="901"/>
    </row>
    <row r="61" spans="1:11" s="602" customFormat="1" ht="20.25" customHeight="1">
      <c r="A61" s="916"/>
      <c r="B61" s="397" t="s">
        <v>1141</v>
      </c>
      <c r="C61" s="398"/>
      <c r="D61" s="398"/>
      <c r="E61" s="399">
        <v>85</v>
      </c>
      <c r="F61" s="413">
        <v>85</v>
      </c>
      <c r="G61" s="414">
        <v>0</v>
      </c>
      <c r="H61" s="399"/>
      <c r="I61" s="414"/>
      <c r="J61" s="924">
        <v>0</v>
      </c>
      <c r="K61" s="901"/>
    </row>
    <row r="62" spans="1:11" s="602" customFormat="1" ht="20.25" customHeight="1">
      <c r="A62" s="916"/>
      <c r="B62" s="397" t="s">
        <v>1142</v>
      </c>
      <c r="C62" s="398"/>
      <c r="D62" s="398"/>
      <c r="E62" s="399">
        <v>108</v>
      </c>
      <c r="F62" s="413">
        <v>108</v>
      </c>
      <c r="G62" s="414">
        <v>4</v>
      </c>
      <c r="H62" s="399"/>
      <c r="I62" s="414"/>
      <c r="J62" s="924">
        <v>104</v>
      </c>
      <c r="K62" s="901"/>
    </row>
    <row r="63" spans="1:11" s="602" customFormat="1" ht="20.25" customHeight="1">
      <c r="A63" s="916"/>
      <c r="B63" s="397" t="s">
        <v>1143</v>
      </c>
      <c r="C63" s="398"/>
      <c r="D63" s="398"/>
      <c r="E63" s="399">
        <v>104</v>
      </c>
      <c r="F63" s="413">
        <v>104</v>
      </c>
      <c r="G63" s="414">
        <v>4</v>
      </c>
      <c r="H63" s="399"/>
      <c r="I63" s="414"/>
      <c r="J63" s="924">
        <v>104</v>
      </c>
      <c r="K63" s="901"/>
    </row>
    <row r="64" spans="1:11" s="602" customFormat="1" ht="20.25" customHeight="1">
      <c r="A64" s="916"/>
      <c r="B64" s="397" t="s">
        <v>1145</v>
      </c>
      <c r="C64" s="398"/>
      <c r="D64" s="398"/>
      <c r="E64" s="399">
        <v>4</v>
      </c>
      <c r="F64" s="413">
        <v>4</v>
      </c>
      <c r="G64" s="400">
        <v>0</v>
      </c>
      <c r="H64" s="399"/>
      <c r="I64" s="400"/>
      <c r="J64" s="924">
        <v>0</v>
      </c>
      <c r="K64" s="901"/>
    </row>
    <row r="65" spans="1:11" s="602" customFormat="1" ht="20.25" customHeight="1">
      <c r="A65" s="918" t="s">
        <v>878</v>
      </c>
      <c r="B65" s="401" t="s">
        <v>879</v>
      </c>
      <c r="C65" s="402" t="s">
        <v>877</v>
      </c>
      <c r="D65" s="402" t="s">
        <v>864</v>
      </c>
      <c r="E65" s="403">
        <v>1042</v>
      </c>
      <c r="F65" s="403">
        <v>1042</v>
      </c>
      <c r="G65" s="404">
        <v>87</v>
      </c>
      <c r="H65" s="403"/>
      <c r="I65" s="404"/>
      <c r="J65" s="919">
        <v>105</v>
      </c>
      <c r="K65" s="901"/>
    </row>
    <row r="66" spans="1:11" s="602" customFormat="1" ht="20.25" customHeight="1">
      <c r="A66" s="916"/>
      <c r="B66" s="397" t="s">
        <v>1140</v>
      </c>
      <c r="C66" s="398"/>
      <c r="D66" s="398"/>
      <c r="E66" s="399">
        <v>1000</v>
      </c>
      <c r="F66" s="399">
        <v>1000</v>
      </c>
      <c r="G66" s="400">
        <v>84</v>
      </c>
      <c r="H66" s="399"/>
      <c r="I66" s="400"/>
      <c r="J66" s="917">
        <v>84</v>
      </c>
      <c r="K66" s="901"/>
    </row>
    <row r="67" spans="1:11" s="602" customFormat="1" ht="20.25" customHeight="1">
      <c r="A67" s="916"/>
      <c r="B67" s="397" t="s">
        <v>1136</v>
      </c>
      <c r="C67" s="398"/>
      <c r="D67" s="398"/>
      <c r="E67" s="399">
        <v>0</v>
      </c>
      <c r="F67" s="399">
        <v>0</v>
      </c>
      <c r="G67" s="400">
        <v>0</v>
      </c>
      <c r="H67" s="399"/>
      <c r="I67" s="400"/>
      <c r="J67" s="917">
        <v>0</v>
      </c>
      <c r="K67" s="901"/>
    </row>
    <row r="68" spans="1:11" s="602" customFormat="1" ht="20.25" customHeight="1">
      <c r="A68" s="916"/>
      <c r="B68" s="397" t="s">
        <v>1142</v>
      </c>
      <c r="C68" s="398"/>
      <c r="D68" s="398"/>
      <c r="E68" s="399">
        <v>42</v>
      </c>
      <c r="F68" s="399">
        <v>42</v>
      </c>
      <c r="G68" s="400">
        <v>3</v>
      </c>
      <c r="H68" s="399"/>
      <c r="I68" s="400"/>
      <c r="J68" s="917">
        <v>21</v>
      </c>
      <c r="K68" s="901"/>
    </row>
    <row r="69" spans="1:11" s="602" customFormat="1" ht="20.25" customHeight="1">
      <c r="A69" s="916"/>
      <c r="B69" s="397" t="s">
        <v>1143</v>
      </c>
      <c r="C69" s="398"/>
      <c r="D69" s="398"/>
      <c r="E69" s="399">
        <v>42</v>
      </c>
      <c r="F69" s="399">
        <v>42</v>
      </c>
      <c r="G69" s="400">
        <v>3</v>
      </c>
      <c r="H69" s="399"/>
      <c r="I69" s="400"/>
      <c r="J69" s="917">
        <v>21</v>
      </c>
      <c r="K69" s="901"/>
    </row>
    <row r="70" spans="1:11" s="602" customFormat="1" ht="20.25" customHeight="1">
      <c r="A70" s="916"/>
      <c r="B70" s="397" t="s">
        <v>1145</v>
      </c>
      <c r="C70" s="398"/>
      <c r="D70" s="398"/>
      <c r="E70" s="399">
        <v>0</v>
      </c>
      <c r="F70" s="399">
        <v>0</v>
      </c>
      <c r="G70" s="400">
        <v>0</v>
      </c>
      <c r="H70" s="399"/>
      <c r="I70" s="400"/>
      <c r="J70" s="917">
        <v>0</v>
      </c>
      <c r="K70" s="901"/>
    </row>
    <row r="71" spans="1:11" s="602" customFormat="1" ht="20.25" customHeight="1">
      <c r="A71" s="918" t="s">
        <v>880</v>
      </c>
      <c r="B71" s="401" t="s">
        <v>881</v>
      </c>
      <c r="C71" s="402" t="s">
        <v>864</v>
      </c>
      <c r="D71" s="402" t="s">
        <v>864</v>
      </c>
      <c r="E71" s="403">
        <v>718</v>
      </c>
      <c r="F71" s="403">
        <v>718</v>
      </c>
      <c r="G71" s="404">
        <v>0</v>
      </c>
      <c r="H71" s="403"/>
      <c r="I71" s="404"/>
      <c r="J71" s="919">
        <v>718</v>
      </c>
      <c r="K71" s="1107"/>
    </row>
    <row r="72" spans="1:11" s="602" customFormat="1" ht="20.25" customHeight="1">
      <c r="A72" s="916"/>
      <c r="B72" s="397" t="s">
        <v>1140</v>
      </c>
      <c r="C72" s="398"/>
      <c r="D72" s="398"/>
      <c r="E72" s="399">
        <v>718</v>
      </c>
      <c r="F72" s="399">
        <v>718</v>
      </c>
      <c r="G72" s="400">
        <v>0</v>
      </c>
      <c r="H72" s="399"/>
      <c r="I72" s="400"/>
      <c r="J72" s="917">
        <v>718</v>
      </c>
      <c r="K72" s="901"/>
    </row>
    <row r="73" spans="1:11" s="602" customFormat="1" ht="20.25" customHeight="1">
      <c r="A73" s="916"/>
      <c r="B73" s="397" t="s">
        <v>1141</v>
      </c>
      <c r="C73" s="398"/>
      <c r="D73" s="398"/>
      <c r="E73" s="399">
        <v>0</v>
      </c>
      <c r="F73" s="399">
        <v>0</v>
      </c>
      <c r="G73" s="400">
        <v>0</v>
      </c>
      <c r="H73" s="399"/>
      <c r="I73" s="400"/>
      <c r="J73" s="917">
        <v>0</v>
      </c>
      <c r="K73" s="901"/>
    </row>
    <row r="74" spans="1:11" s="602" customFormat="1" ht="20.25" customHeight="1">
      <c r="A74" s="916"/>
      <c r="B74" s="397" t="s">
        <v>1142</v>
      </c>
      <c r="C74" s="398"/>
      <c r="D74" s="398"/>
      <c r="E74" s="399">
        <v>0</v>
      </c>
      <c r="F74" s="399">
        <v>0</v>
      </c>
      <c r="G74" s="400">
        <v>0</v>
      </c>
      <c r="H74" s="399"/>
      <c r="I74" s="400"/>
      <c r="J74" s="917">
        <v>0</v>
      </c>
      <c r="K74" s="901"/>
    </row>
    <row r="75" spans="1:11" s="602" customFormat="1" ht="20.25" customHeight="1">
      <c r="A75" s="916"/>
      <c r="B75" s="397" t="s">
        <v>1146</v>
      </c>
      <c r="C75" s="398"/>
      <c r="D75" s="398"/>
      <c r="E75" s="399">
        <v>0</v>
      </c>
      <c r="F75" s="399">
        <v>0</v>
      </c>
      <c r="G75" s="400">
        <v>0</v>
      </c>
      <c r="H75" s="399"/>
      <c r="I75" s="400"/>
      <c r="J75" s="917">
        <v>0</v>
      </c>
      <c r="K75" s="901"/>
    </row>
    <row r="76" spans="1:11" s="602" customFormat="1" ht="20.25" customHeight="1">
      <c r="A76" s="916"/>
      <c r="B76" s="397" t="s">
        <v>1145</v>
      </c>
      <c r="C76" s="398"/>
      <c r="D76" s="398"/>
      <c r="E76" s="399">
        <v>0</v>
      </c>
      <c r="F76" s="399">
        <v>0</v>
      </c>
      <c r="G76" s="400">
        <v>0</v>
      </c>
      <c r="H76" s="399"/>
      <c r="I76" s="400"/>
      <c r="J76" s="917">
        <v>0</v>
      </c>
      <c r="K76" s="901"/>
    </row>
    <row r="77" spans="1:11" s="604" customFormat="1" ht="20.25" customHeight="1">
      <c r="A77" s="912" t="s">
        <v>663</v>
      </c>
      <c r="B77" s="415" t="s">
        <v>1130</v>
      </c>
      <c r="C77" s="416"/>
      <c r="D77" s="416"/>
      <c r="E77" s="417">
        <f>SUM(E78+E84)</f>
        <v>3341</v>
      </c>
      <c r="F77" s="417">
        <f>SUM(F78+F84)</f>
        <v>3341</v>
      </c>
      <c r="G77" s="418">
        <f>SUM(G78+G84)</f>
        <v>3341</v>
      </c>
      <c r="H77" s="417"/>
      <c r="I77" s="418"/>
      <c r="J77" s="925">
        <f>SUM(J78+J84)</f>
        <v>3341</v>
      </c>
      <c r="K77" s="902"/>
    </row>
    <row r="78" spans="1:11" s="602" customFormat="1" ht="20.25" customHeight="1">
      <c r="A78" s="918" t="s">
        <v>1006</v>
      </c>
      <c r="B78" s="401" t="s">
        <v>1007</v>
      </c>
      <c r="C78" s="402" t="s">
        <v>1008</v>
      </c>
      <c r="D78" s="402" t="s">
        <v>1009</v>
      </c>
      <c r="E78" s="403">
        <v>2510</v>
      </c>
      <c r="F78" s="403">
        <v>2510</v>
      </c>
      <c r="G78" s="404">
        <v>2510</v>
      </c>
      <c r="H78" s="403"/>
      <c r="I78" s="404"/>
      <c r="J78" s="919">
        <v>2510</v>
      </c>
      <c r="K78" s="1107"/>
    </row>
    <row r="79" spans="1:11" s="602" customFormat="1" ht="20.25" customHeight="1">
      <c r="A79" s="916" t="s">
        <v>1010</v>
      </c>
      <c r="B79" s="397" t="s">
        <v>1140</v>
      </c>
      <c r="C79" s="398"/>
      <c r="D79" s="398"/>
      <c r="E79" s="399">
        <v>2510</v>
      </c>
      <c r="F79" s="399">
        <v>2510</v>
      </c>
      <c r="G79" s="400">
        <v>2510</v>
      </c>
      <c r="H79" s="399"/>
      <c r="I79" s="400"/>
      <c r="J79" s="917">
        <v>2510</v>
      </c>
      <c r="K79" s="901"/>
    </row>
    <row r="80" spans="1:11" s="602" customFormat="1" ht="20.25" customHeight="1">
      <c r="A80" s="916" t="s">
        <v>1011</v>
      </c>
      <c r="B80" s="397" t="s">
        <v>1141</v>
      </c>
      <c r="C80" s="398"/>
      <c r="D80" s="398"/>
      <c r="E80" s="399">
        <v>0</v>
      </c>
      <c r="F80" s="399">
        <v>0</v>
      </c>
      <c r="G80" s="400">
        <v>0</v>
      </c>
      <c r="H80" s="399"/>
      <c r="I80" s="400"/>
      <c r="J80" s="917">
        <v>0</v>
      </c>
      <c r="K80" s="901"/>
    </row>
    <row r="81" spans="1:11" s="602" customFormat="1" ht="20.25" customHeight="1">
      <c r="A81" s="916"/>
      <c r="B81" s="397" t="s">
        <v>1142</v>
      </c>
      <c r="C81" s="398"/>
      <c r="D81" s="398"/>
      <c r="E81" s="399">
        <v>0</v>
      </c>
      <c r="F81" s="399">
        <v>0</v>
      </c>
      <c r="G81" s="400">
        <v>0</v>
      </c>
      <c r="H81" s="399"/>
      <c r="I81" s="400"/>
      <c r="J81" s="917">
        <v>0</v>
      </c>
      <c r="K81" s="901"/>
    </row>
    <row r="82" spans="1:11" s="602" customFormat="1" ht="20.25" customHeight="1">
      <c r="A82" s="916"/>
      <c r="B82" s="397" t="s">
        <v>1147</v>
      </c>
      <c r="C82" s="398"/>
      <c r="D82" s="398"/>
      <c r="E82" s="399">
        <v>0</v>
      </c>
      <c r="F82" s="399">
        <v>0</v>
      </c>
      <c r="G82" s="400">
        <v>0</v>
      </c>
      <c r="H82" s="399"/>
      <c r="I82" s="400"/>
      <c r="J82" s="917">
        <v>0</v>
      </c>
      <c r="K82" s="901"/>
    </row>
    <row r="83" spans="1:11" s="602" customFormat="1" ht="20.25" customHeight="1">
      <c r="A83" s="916"/>
      <c r="B83" s="397" t="s">
        <v>1145</v>
      </c>
      <c r="C83" s="398"/>
      <c r="D83" s="398"/>
      <c r="E83" s="399">
        <v>0</v>
      </c>
      <c r="F83" s="399">
        <v>0</v>
      </c>
      <c r="G83" s="400">
        <v>0</v>
      </c>
      <c r="H83" s="399"/>
      <c r="I83" s="400"/>
      <c r="J83" s="917">
        <v>0</v>
      </c>
      <c r="K83" s="901"/>
    </row>
    <row r="84" spans="1:11" s="602" customFormat="1" ht="20.25" customHeight="1">
      <c r="A84" s="918" t="s">
        <v>1012</v>
      </c>
      <c r="B84" s="401" t="s">
        <v>1013</v>
      </c>
      <c r="C84" s="402" t="s">
        <v>1014</v>
      </c>
      <c r="D84" s="402" t="s">
        <v>1015</v>
      </c>
      <c r="E84" s="403">
        <v>831</v>
      </c>
      <c r="F84" s="403">
        <v>831</v>
      </c>
      <c r="G84" s="404">
        <v>831</v>
      </c>
      <c r="H84" s="403"/>
      <c r="I84" s="404"/>
      <c r="J84" s="919">
        <v>831</v>
      </c>
      <c r="K84" s="1107"/>
    </row>
    <row r="85" spans="1:11" s="602" customFormat="1" ht="20.25" customHeight="1">
      <c r="A85" s="916" t="s">
        <v>1010</v>
      </c>
      <c r="B85" s="397" t="s">
        <v>1140</v>
      </c>
      <c r="C85" s="398"/>
      <c r="D85" s="398"/>
      <c r="E85" s="399">
        <v>831</v>
      </c>
      <c r="F85" s="399">
        <v>831</v>
      </c>
      <c r="G85" s="400">
        <v>831</v>
      </c>
      <c r="H85" s="399"/>
      <c r="I85" s="400"/>
      <c r="J85" s="917">
        <v>831</v>
      </c>
      <c r="K85" s="901"/>
    </row>
    <row r="86" spans="1:11" s="602" customFormat="1" ht="20.25" customHeight="1">
      <c r="A86" s="916" t="s">
        <v>1011</v>
      </c>
      <c r="B86" s="397" t="s">
        <v>1141</v>
      </c>
      <c r="C86" s="398"/>
      <c r="D86" s="398"/>
      <c r="E86" s="399">
        <v>0</v>
      </c>
      <c r="F86" s="399">
        <v>0</v>
      </c>
      <c r="G86" s="400">
        <v>0</v>
      </c>
      <c r="H86" s="399"/>
      <c r="I86" s="400"/>
      <c r="J86" s="917">
        <v>0</v>
      </c>
      <c r="K86" s="901"/>
    </row>
    <row r="87" spans="1:11" s="602" customFormat="1" ht="20.25" customHeight="1">
      <c r="A87" s="916"/>
      <c r="B87" s="397" t="s">
        <v>1137</v>
      </c>
      <c r="C87" s="398"/>
      <c r="D87" s="398"/>
      <c r="E87" s="399">
        <v>0</v>
      </c>
      <c r="F87" s="399">
        <v>0</v>
      </c>
      <c r="G87" s="400">
        <v>0</v>
      </c>
      <c r="H87" s="399"/>
      <c r="I87" s="400"/>
      <c r="J87" s="917">
        <v>0</v>
      </c>
      <c r="K87" s="901"/>
    </row>
    <row r="88" spans="1:11" s="602" customFormat="1" ht="20.25" customHeight="1">
      <c r="A88" s="916"/>
      <c r="B88" s="397" t="s">
        <v>1144</v>
      </c>
      <c r="C88" s="398"/>
      <c r="D88" s="398"/>
      <c r="E88" s="399">
        <v>0</v>
      </c>
      <c r="F88" s="399">
        <v>0</v>
      </c>
      <c r="G88" s="400">
        <v>0</v>
      </c>
      <c r="H88" s="399"/>
      <c r="I88" s="400"/>
      <c r="J88" s="917">
        <v>0</v>
      </c>
      <c r="K88" s="901"/>
    </row>
    <row r="89" spans="1:11" s="602" customFormat="1" ht="20.25" customHeight="1">
      <c r="A89" s="916"/>
      <c r="B89" s="397" t="s">
        <v>1135</v>
      </c>
      <c r="C89" s="398"/>
      <c r="D89" s="398"/>
      <c r="E89" s="399">
        <v>0</v>
      </c>
      <c r="F89" s="399">
        <v>0</v>
      </c>
      <c r="G89" s="400">
        <v>0</v>
      </c>
      <c r="H89" s="399"/>
      <c r="I89" s="400"/>
      <c r="J89" s="917">
        <v>0</v>
      </c>
      <c r="K89" s="901"/>
    </row>
    <row r="90" spans="1:11" s="604" customFormat="1" ht="20.25" customHeight="1">
      <c r="A90" s="912" t="s">
        <v>516</v>
      </c>
      <c r="B90" s="415" t="s">
        <v>1131</v>
      </c>
      <c r="C90" s="416"/>
      <c r="D90" s="416"/>
      <c r="E90" s="417">
        <f>E91</f>
        <v>22834</v>
      </c>
      <c r="F90" s="417">
        <f>F91</f>
        <v>22834</v>
      </c>
      <c r="G90" s="418">
        <f>G91</f>
        <v>1149</v>
      </c>
      <c r="H90" s="417"/>
      <c r="I90" s="418"/>
      <c r="J90" s="925">
        <f>J91</f>
        <v>10279</v>
      </c>
      <c r="K90" s="902"/>
    </row>
    <row r="91" spans="1:11" s="602" customFormat="1" ht="20.25" customHeight="1">
      <c r="A91" s="918" t="s">
        <v>882</v>
      </c>
      <c r="B91" s="401" t="s">
        <v>883</v>
      </c>
      <c r="C91" s="402" t="s">
        <v>859</v>
      </c>
      <c r="D91" s="402" t="s">
        <v>860</v>
      </c>
      <c r="E91" s="403">
        <v>22834</v>
      </c>
      <c r="F91" s="403">
        <v>22834</v>
      </c>
      <c r="G91" s="404">
        <v>1149</v>
      </c>
      <c r="H91" s="403"/>
      <c r="I91" s="404"/>
      <c r="J91" s="919">
        <v>10279</v>
      </c>
      <c r="K91" s="1107"/>
    </row>
    <row r="92" spans="1:11" s="602" customFormat="1" ht="20.25" customHeight="1">
      <c r="A92" s="916"/>
      <c r="B92" s="397" t="s">
        <v>1140</v>
      </c>
      <c r="C92" s="398"/>
      <c r="D92" s="398"/>
      <c r="E92" s="399">
        <v>21702</v>
      </c>
      <c r="F92" s="399">
        <v>21702</v>
      </c>
      <c r="G92" s="400">
        <v>1114</v>
      </c>
      <c r="H92" s="399"/>
      <c r="I92" s="400"/>
      <c r="J92" s="917">
        <v>10038</v>
      </c>
      <c r="K92" s="901"/>
    </row>
    <row r="93" spans="1:11" s="602" customFormat="1" ht="20.25" customHeight="1">
      <c r="A93" s="916"/>
      <c r="B93" s="397" t="s">
        <v>1141</v>
      </c>
      <c r="C93" s="398"/>
      <c r="D93" s="398"/>
      <c r="E93" s="399">
        <v>510</v>
      </c>
      <c r="F93" s="399">
        <v>510</v>
      </c>
      <c r="G93" s="400">
        <v>0</v>
      </c>
      <c r="H93" s="399"/>
      <c r="I93" s="400"/>
      <c r="J93" s="917">
        <v>0</v>
      </c>
      <c r="K93" s="901"/>
    </row>
    <row r="94" spans="1:11" s="602" customFormat="1" ht="20.25" customHeight="1">
      <c r="A94" s="916"/>
      <c r="B94" s="397" t="s">
        <v>1142</v>
      </c>
      <c r="C94" s="398"/>
      <c r="D94" s="398"/>
      <c r="E94" s="399">
        <v>622</v>
      </c>
      <c r="F94" s="399">
        <v>622</v>
      </c>
      <c r="G94" s="400">
        <v>35</v>
      </c>
      <c r="H94" s="399"/>
      <c r="I94" s="400"/>
      <c r="J94" s="917">
        <v>241</v>
      </c>
      <c r="K94" s="901"/>
    </row>
    <row r="95" spans="1:11" s="602" customFormat="1" ht="20.25" customHeight="1">
      <c r="A95" s="916"/>
      <c r="B95" s="397" t="s">
        <v>1147</v>
      </c>
      <c r="C95" s="398"/>
      <c r="D95" s="398"/>
      <c r="E95" s="399">
        <v>606</v>
      </c>
      <c r="F95" s="399">
        <v>606</v>
      </c>
      <c r="G95" s="400">
        <v>35</v>
      </c>
      <c r="H95" s="399"/>
      <c r="I95" s="400"/>
      <c r="J95" s="917">
        <v>241</v>
      </c>
      <c r="K95" s="901"/>
    </row>
    <row r="96" spans="1:11" s="602" customFormat="1" ht="20.25" customHeight="1" thickBot="1">
      <c r="A96" s="926"/>
      <c r="B96" s="927" t="s">
        <v>1145</v>
      </c>
      <c r="C96" s="928"/>
      <c r="D96" s="928"/>
      <c r="E96" s="929">
        <v>16</v>
      </c>
      <c r="F96" s="929">
        <v>16</v>
      </c>
      <c r="G96" s="930">
        <v>0</v>
      </c>
      <c r="H96" s="929"/>
      <c r="I96" s="930"/>
      <c r="J96" s="931">
        <v>0</v>
      </c>
      <c r="K96" s="901"/>
    </row>
    <row r="97" spans="1:10" s="603" customFormat="1" ht="20.25" customHeight="1">
      <c r="A97" s="941" t="s">
        <v>167</v>
      </c>
      <c r="B97" s="381"/>
      <c r="C97" s="382"/>
      <c r="D97" s="382"/>
      <c r="E97" s="383"/>
      <c r="F97" s="383"/>
      <c r="G97" s="383"/>
      <c r="H97" s="383"/>
      <c r="I97" s="383"/>
      <c r="J97" s="387"/>
    </row>
    <row r="98" spans="1:10" s="500" customFormat="1" ht="20.25" customHeight="1">
      <c r="A98" s="380"/>
      <c r="B98" s="381"/>
      <c r="C98" s="382"/>
      <c r="D98" s="382"/>
      <c r="E98" s="383"/>
      <c r="F98" s="383"/>
      <c r="G98" s="383"/>
      <c r="H98" s="383"/>
      <c r="I98" s="383"/>
      <c r="J98" s="383"/>
    </row>
    <row r="99" spans="1:10" s="500" customFormat="1" ht="20.25" customHeight="1">
      <c r="A99" s="477" t="s">
        <v>1003</v>
      </c>
      <c r="B99" s="384"/>
      <c r="C99" s="385"/>
      <c r="D99" s="385"/>
      <c r="E99" s="386"/>
      <c r="F99" s="386"/>
      <c r="G99" s="386"/>
      <c r="H99" s="386"/>
      <c r="I99" s="386"/>
      <c r="J99" s="387" t="s">
        <v>1004</v>
      </c>
    </row>
    <row r="100" spans="1:10" s="574" customFormat="1" ht="20.25" customHeight="1" thickBot="1">
      <c r="A100" s="380"/>
      <c r="B100" s="381"/>
      <c r="C100" s="382"/>
      <c r="D100" s="382"/>
      <c r="E100" s="383"/>
      <c r="F100" s="383"/>
      <c r="G100" s="384"/>
      <c r="H100" s="383"/>
      <c r="I100" s="387"/>
      <c r="J100" s="8" t="s">
        <v>256</v>
      </c>
    </row>
    <row r="101" spans="1:11" s="602" customFormat="1" ht="20.25" customHeight="1">
      <c r="A101" s="903" t="s">
        <v>833</v>
      </c>
      <c r="B101" s="904"/>
      <c r="C101" s="905" t="s">
        <v>267</v>
      </c>
      <c r="D101" s="905" t="s">
        <v>834</v>
      </c>
      <c r="E101" s="906" t="s">
        <v>835</v>
      </c>
      <c r="F101" s="906" t="s">
        <v>836</v>
      </c>
      <c r="G101" s="907" t="s">
        <v>837</v>
      </c>
      <c r="H101" s="908"/>
      <c r="I101" s="907"/>
      <c r="J101" s="909" t="s">
        <v>838</v>
      </c>
      <c r="K101" s="901"/>
    </row>
    <row r="102" spans="1:11" s="602" customFormat="1" ht="20.25" customHeight="1">
      <c r="A102" s="910" t="s">
        <v>839</v>
      </c>
      <c r="B102" s="608" t="s">
        <v>840</v>
      </c>
      <c r="C102" s="607" t="s">
        <v>841</v>
      </c>
      <c r="D102" s="607" t="s">
        <v>842</v>
      </c>
      <c r="E102" s="609" t="s">
        <v>843</v>
      </c>
      <c r="F102" s="609" t="s">
        <v>844</v>
      </c>
      <c r="G102" s="610" t="s">
        <v>845</v>
      </c>
      <c r="H102" s="611"/>
      <c r="I102" s="610"/>
      <c r="J102" s="911" t="s">
        <v>845</v>
      </c>
      <c r="K102" s="901"/>
    </row>
    <row r="103" spans="1:11" s="602" customFormat="1" ht="20.25" customHeight="1" thickBot="1">
      <c r="A103" s="1074"/>
      <c r="B103" s="1075"/>
      <c r="C103" s="1076"/>
      <c r="D103" s="1076"/>
      <c r="E103" s="1077" t="s">
        <v>846</v>
      </c>
      <c r="F103" s="1077">
        <v>2007</v>
      </c>
      <c r="G103" s="1078" t="s">
        <v>1005</v>
      </c>
      <c r="H103" s="1079"/>
      <c r="I103" s="1078"/>
      <c r="J103" s="1080" t="s">
        <v>1005</v>
      </c>
      <c r="K103" s="901"/>
    </row>
    <row r="104" spans="1:11" s="602" customFormat="1" ht="20.25" customHeight="1">
      <c r="A104" s="1088" t="s">
        <v>520</v>
      </c>
      <c r="B104" s="1089" t="s">
        <v>884</v>
      </c>
      <c r="C104" s="1090"/>
      <c r="D104" s="1090"/>
      <c r="E104" s="1091">
        <f>E105+E111+E117+E123+E129+E135+E141+E160+E166+E172+E178+E184+E190+E196+E209+E215+E221</f>
        <v>727032</v>
      </c>
      <c r="F104" s="1091">
        <f>F105+F111+F117+F123+F129+F135+F141+F154+F160+F166+F172+F178+F184+F190+F196+F209+F215+F221</f>
        <v>462972</v>
      </c>
      <c r="G104" s="1092">
        <f>G105+G111+G117+G123+G129+G135+G141+G154+G160+G166+G172+G178+G184+G190+G196+G209+G215+G221</f>
        <v>152379</v>
      </c>
      <c r="H104" s="1093"/>
      <c r="I104" s="1092"/>
      <c r="J104" s="1094">
        <f>J105+J111+J117+J123+J129+J135+J141+J154+J160+J166+J172+J178+J184+J190+J196+J209+J215+J221</f>
        <v>145755</v>
      </c>
      <c r="K104" s="901"/>
    </row>
    <row r="105" spans="1:11" s="602" customFormat="1" ht="20.25" customHeight="1">
      <c r="A105" s="918" t="s">
        <v>885</v>
      </c>
      <c r="B105" s="401" t="s">
        <v>886</v>
      </c>
      <c r="C105" s="402" t="s">
        <v>887</v>
      </c>
      <c r="D105" s="402" t="s">
        <v>864</v>
      </c>
      <c r="E105" s="403">
        <v>241845</v>
      </c>
      <c r="F105" s="403">
        <v>139370</v>
      </c>
      <c r="G105" s="404">
        <v>0</v>
      </c>
      <c r="H105" s="403"/>
      <c r="I105" s="404"/>
      <c r="J105" s="919">
        <v>73</v>
      </c>
      <c r="K105" s="1107"/>
    </row>
    <row r="106" spans="1:11" s="602" customFormat="1" ht="20.25" customHeight="1">
      <c r="A106" s="916"/>
      <c r="B106" s="397" t="s">
        <v>1140</v>
      </c>
      <c r="C106" s="398"/>
      <c r="D106" s="398"/>
      <c r="E106" s="399">
        <v>236346</v>
      </c>
      <c r="F106" s="399">
        <v>135934</v>
      </c>
      <c r="G106" s="400">
        <v>0</v>
      </c>
      <c r="H106" s="399"/>
      <c r="I106" s="400"/>
      <c r="J106" s="917">
        <v>0</v>
      </c>
      <c r="K106" s="901"/>
    </row>
    <row r="107" spans="1:11" s="602" customFormat="1" ht="20.25" customHeight="1">
      <c r="A107" s="916"/>
      <c r="B107" s="397" t="s">
        <v>1141</v>
      </c>
      <c r="C107" s="398"/>
      <c r="D107" s="398"/>
      <c r="E107" s="399">
        <v>824</v>
      </c>
      <c r="F107" s="399">
        <v>674</v>
      </c>
      <c r="G107" s="400">
        <v>0</v>
      </c>
      <c r="H107" s="399"/>
      <c r="I107" s="400"/>
      <c r="J107" s="917">
        <v>0</v>
      </c>
      <c r="K107" s="901"/>
    </row>
    <row r="108" spans="1:11" s="602" customFormat="1" ht="20.25" customHeight="1">
      <c r="A108" s="916"/>
      <c r="B108" s="397" t="s">
        <v>1142</v>
      </c>
      <c r="C108" s="398"/>
      <c r="D108" s="398"/>
      <c r="E108" s="399">
        <v>4675</v>
      </c>
      <c r="F108" s="399">
        <v>2762</v>
      </c>
      <c r="G108" s="400">
        <v>0</v>
      </c>
      <c r="H108" s="399"/>
      <c r="I108" s="400"/>
      <c r="J108" s="917">
        <v>73</v>
      </c>
      <c r="K108" s="901"/>
    </row>
    <row r="109" spans="1:11" s="602" customFormat="1" ht="20.25" customHeight="1">
      <c r="A109" s="916"/>
      <c r="B109" s="397" t="s">
        <v>1147</v>
      </c>
      <c r="C109" s="398"/>
      <c r="D109" s="398"/>
      <c r="E109" s="399">
        <v>4605</v>
      </c>
      <c r="F109" s="399">
        <v>2742</v>
      </c>
      <c r="G109" s="400">
        <v>0</v>
      </c>
      <c r="H109" s="399"/>
      <c r="I109" s="400"/>
      <c r="J109" s="917">
        <v>73</v>
      </c>
      <c r="K109" s="901"/>
    </row>
    <row r="110" spans="1:11" s="602" customFormat="1" ht="20.25" customHeight="1">
      <c r="A110" s="916"/>
      <c r="B110" s="397" t="s">
        <v>1145</v>
      </c>
      <c r="C110" s="398"/>
      <c r="D110" s="398"/>
      <c r="E110" s="399">
        <v>70</v>
      </c>
      <c r="F110" s="399">
        <v>20</v>
      </c>
      <c r="G110" s="400">
        <v>0</v>
      </c>
      <c r="H110" s="399"/>
      <c r="I110" s="400"/>
      <c r="J110" s="917">
        <v>0</v>
      </c>
      <c r="K110" s="901"/>
    </row>
    <row r="111" spans="1:11" s="602" customFormat="1" ht="20.25" customHeight="1">
      <c r="A111" s="918" t="s">
        <v>888</v>
      </c>
      <c r="B111" s="401" t="s">
        <v>889</v>
      </c>
      <c r="C111" s="402" t="s">
        <v>890</v>
      </c>
      <c r="D111" s="402" t="s">
        <v>864</v>
      </c>
      <c r="E111" s="403">
        <v>6956</v>
      </c>
      <c r="F111" s="403">
        <v>6956</v>
      </c>
      <c r="G111" s="404">
        <f>SUM(G112:G114)</f>
        <v>1794</v>
      </c>
      <c r="H111" s="403"/>
      <c r="I111" s="404"/>
      <c r="J111" s="919">
        <f>SUM(J112:J114)</f>
        <v>1794</v>
      </c>
      <c r="K111" s="1107"/>
    </row>
    <row r="112" spans="1:11" s="602" customFormat="1" ht="20.25" customHeight="1">
      <c r="A112" s="916"/>
      <c r="B112" s="397" t="s">
        <v>1140</v>
      </c>
      <c r="C112" s="398"/>
      <c r="D112" s="398"/>
      <c r="E112" s="399">
        <v>6476</v>
      </c>
      <c r="F112" s="399">
        <v>6476</v>
      </c>
      <c r="G112" s="400">
        <v>1717</v>
      </c>
      <c r="H112" s="399"/>
      <c r="I112" s="400"/>
      <c r="J112" s="917">
        <v>1717</v>
      </c>
      <c r="K112" s="901"/>
    </row>
    <row r="113" spans="1:11" s="602" customFormat="1" ht="20.25" customHeight="1">
      <c r="A113" s="916"/>
      <c r="B113" s="397" t="s">
        <v>1141</v>
      </c>
      <c r="C113" s="398"/>
      <c r="D113" s="398"/>
      <c r="E113" s="399">
        <v>208</v>
      </c>
      <c r="F113" s="399">
        <v>208</v>
      </c>
      <c r="G113" s="400">
        <v>25</v>
      </c>
      <c r="H113" s="399"/>
      <c r="I113" s="400"/>
      <c r="J113" s="917">
        <v>25</v>
      </c>
      <c r="K113" s="901"/>
    </row>
    <row r="114" spans="1:11" s="602" customFormat="1" ht="20.25" customHeight="1">
      <c r="A114" s="916"/>
      <c r="B114" s="397" t="s">
        <v>1142</v>
      </c>
      <c r="C114" s="398"/>
      <c r="D114" s="398"/>
      <c r="E114" s="399">
        <v>272</v>
      </c>
      <c r="F114" s="399">
        <v>272</v>
      </c>
      <c r="G114" s="400">
        <v>52</v>
      </c>
      <c r="H114" s="399"/>
      <c r="I114" s="400"/>
      <c r="J114" s="917">
        <v>52</v>
      </c>
      <c r="K114" s="901"/>
    </row>
    <row r="115" spans="1:11" s="602" customFormat="1" ht="20.25" customHeight="1">
      <c r="A115" s="916"/>
      <c r="B115" s="397" t="s">
        <v>1147</v>
      </c>
      <c r="C115" s="398"/>
      <c r="D115" s="398"/>
      <c r="E115" s="399">
        <v>244</v>
      </c>
      <c r="F115" s="399">
        <v>244</v>
      </c>
      <c r="G115" s="400">
        <v>52</v>
      </c>
      <c r="H115" s="399"/>
      <c r="I115" s="400"/>
      <c r="J115" s="917">
        <v>52</v>
      </c>
      <c r="K115" s="901"/>
    </row>
    <row r="116" spans="1:11" s="602" customFormat="1" ht="20.25" customHeight="1">
      <c r="A116" s="916"/>
      <c r="B116" s="397" t="s">
        <v>1145</v>
      </c>
      <c r="C116" s="398"/>
      <c r="D116" s="398"/>
      <c r="E116" s="399">
        <v>28</v>
      </c>
      <c r="F116" s="399">
        <v>28</v>
      </c>
      <c r="G116" s="400">
        <v>0</v>
      </c>
      <c r="H116" s="399"/>
      <c r="I116" s="400"/>
      <c r="J116" s="917">
        <v>0</v>
      </c>
      <c r="K116" s="901"/>
    </row>
    <row r="117" spans="1:11" s="602" customFormat="1" ht="20.25" customHeight="1">
      <c r="A117" s="918" t="s">
        <v>891</v>
      </c>
      <c r="B117" s="401" t="s">
        <v>892</v>
      </c>
      <c r="C117" s="402" t="s">
        <v>864</v>
      </c>
      <c r="D117" s="402" t="s">
        <v>893</v>
      </c>
      <c r="E117" s="403">
        <v>35176</v>
      </c>
      <c r="F117" s="403">
        <v>34765</v>
      </c>
      <c r="G117" s="404">
        <f>SUM(G118:G120)</f>
        <v>33515</v>
      </c>
      <c r="H117" s="403"/>
      <c r="I117" s="404"/>
      <c r="J117" s="919">
        <f>SUM(J118:J120)</f>
        <v>32764</v>
      </c>
      <c r="K117" s="1107"/>
    </row>
    <row r="118" spans="1:11" s="602" customFormat="1" ht="20.25" customHeight="1">
      <c r="A118" s="916"/>
      <c r="B118" s="397" t="s">
        <v>1140</v>
      </c>
      <c r="C118" s="398"/>
      <c r="D118" s="398"/>
      <c r="E118" s="399">
        <v>33518</v>
      </c>
      <c r="F118" s="399">
        <v>32515</v>
      </c>
      <c r="G118" s="400">
        <v>32515</v>
      </c>
      <c r="H118" s="399"/>
      <c r="I118" s="400"/>
      <c r="J118" s="917">
        <v>31229</v>
      </c>
      <c r="K118" s="901"/>
    </row>
    <row r="119" spans="1:11" s="602" customFormat="1" ht="20.25" customHeight="1">
      <c r="A119" s="916"/>
      <c r="B119" s="397" t="s">
        <v>1141</v>
      </c>
      <c r="C119" s="398"/>
      <c r="D119" s="398"/>
      <c r="E119" s="399">
        <v>680</v>
      </c>
      <c r="F119" s="399">
        <v>678</v>
      </c>
      <c r="G119" s="400">
        <v>53</v>
      </c>
      <c r="H119" s="399"/>
      <c r="I119" s="400"/>
      <c r="J119" s="917">
        <v>625</v>
      </c>
      <c r="K119" s="901"/>
    </row>
    <row r="120" spans="1:11" s="602" customFormat="1" ht="20.25" customHeight="1">
      <c r="A120" s="916"/>
      <c r="B120" s="397" t="s">
        <v>1142</v>
      </c>
      <c r="C120" s="398"/>
      <c r="D120" s="398"/>
      <c r="E120" s="399">
        <v>978</v>
      </c>
      <c r="F120" s="399">
        <v>947</v>
      </c>
      <c r="G120" s="400">
        <f>SUM(G121:G122)</f>
        <v>947</v>
      </c>
      <c r="H120" s="399"/>
      <c r="I120" s="400"/>
      <c r="J120" s="917">
        <f>SUM(J121:J122)</f>
        <v>910</v>
      </c>
      <c r="K120" s="901"/>
    </row>
    <row r="121" spans="1:11" s="602" customFormat="1" ht="20.25" customHeight="1">
      <c r="A121" s="916"/>
      <c r="B121" s="397" t="s">
        <v>1147</v>
      </c>
      <c r="C121" s="398"/>
      <c r="D121" s="398"/>
      <c r="E121" s="399">
        <v>918</v>
      </c>
      <c r="F121" s="399">
        <v>887</v>
      </c>
      <c r="G121" s="400">
        <v>887</v>
      </c>
      <c r="H121" s="399"/>
      <c r="I121" s="400"/>
      <c r="J121" s="917">
        <v>855</v>
      </c>
      <c r="K121" s="901"/>
    </row>
    <row r="122" spans="1:11" s="602" customFormat="1" ht="20.25" customHeight="1">
      <c r="A122" s="916"/>
      <c r="B122" s="397" t="s">
        <v>1145</v>
      </c>
      <c r="C122" s="398"/>
      <c r="D122" s="398"/>
      <c r="E122" s="399">
        <v>60</v>
      </c>
      <c r="F122" s="399">
        <v>60</v>
      </c>
      <c r="G122" s="400">
        <v>60</v>
      </c>
      <c r="H122" s="399"/>
      <c r="I122" s="400"/>
      <c r="J122" s="917">
        <v>55</v>
      </c>
      <c r="K122" s="901"/>
    </row>
    <row r="123" spans="1:11" s="602" customFormat="1" ht="20.25" customHeight="1">
      <c r="A123" s="918" t="s">
        <v>894</v>
      </c>
      <c r="B123" s="401" t="s">
        <v>895</v>
      </c>
      <c r="C123" s="402" t="s">
        <v>867</v>
      </c>
      <c r="D123" s="402" t="s">
        <v>864</v>
      </c>
      <c r="E123" s="403">
        <v>33492</v>
      </c>
      <c r="F123" s="403">
        <v>33492</v>
      </c>
      <c r="G123" s="404">
        <v>87</v>
      </c>
      <c r="H123" s="403"/>
      <c r="I123" s="404"/>
      <c r="J123" s="919">
        <v>87</v>
      </c>
      <c r="K123" s="1107"/>
    </row>
    <row r="124" spans="1:11" s="602" customFormat="1" ht="20.25" customHeight="1">
      <c r="A124" s="916"/>
      <c r="B124" s="397" t="s">
        <v>1140</v>
      </c>
      <c r="C124" s="398"/>
      <c r="D124" s="398"/>
      <c r="E124" s="399">
        <v>31480</v>
      </c>
      <c r="F124" s="399">
        <v>31480</v>
      </c>
      <c r="G124" s="400">
        <v>0</v>
      </c>
      <c r="H124" s="399"/>
      <c r="I124" s="400"/>
      <c r="J124" s="917">
        <v>0</v>
      </c>
      <c r="K124" s="901"/>
    </row>
    <row r="125" spans="1:11" s="602" customFormat="1" ht="20.25" customHeight="1">
      <c r="A125" s="916"/>
      <c r="B125" s="397" t="s">
        <v>1141</v>
      </c>
      <c r="C125" s="398"/>
      <c r="D125" s="398"/>
      <c r="E125" s="399">
        <v>769</v>
      </c>
      <c r="F125" s="399">
        <v>769</v>
      </c>
      <c r="G125" s="400">
        <v>0</v>
      </c>
      <c r="H125" s="399"/>
      <c r="I125" s="400"/>
      <c r="J125" s="917">
        <v>0</v>
      </c>
      <c r="K125" s="901"/>
    </row>
    <row r="126" spans="1:11" s="602" customFormat="1" ht="20.25" customHeight="1">
      <c r="A126" s="916"/>
      <c r="B126" s="397" t="s">
        <v>1142</v>
      </c>
      <c r="C126" s="398"/>
      <c r="D126" s="398"/>
      <c r="E126" s="399">
        <v>1243</v>
      </c>
      <c r="F126" s="399">
        <v>1243</v>
      </c>
      <c r="G126" s="400">
        <v>87</v>
      </c>
      <c r="H126" s="399"/>
      <c r="I126" s="400"/>
      <c r="J126" s="917">
        <v>87</v>
      </c>
      <c r="K126" s="901"/>
    </row>
    <row r="127" spans="1:11" s="602" customFormat="1" ht="20.25" customHeight="1">
      <c r="A127" s="916"/>
      <c r="B127" s="397" t="s">
        <v>1138</v>
      </c>
      <c r="C127" s="398"/>
      <c r="D127" s="398"/>
      <c r="E127" s="399">
        <v>1187</v>
      </c>
      <c r="F127" s="399">
        <v>1187</v>
      </c>
      <c r="G127" s="400">
        <v>87</v>
      </c>
      <c r="H127" s="399"/>
      <c r="I127" s="400"/>
      <c r="J127" s="917">
        <v>87</v>
      </c>
      <c r="K127" s="901"/>
    </row>
    <row r="128" spans="1:11" s="602" customFormat="1" ht="20.25" customHeight="1">
      <c r="A128" s="916"/>
      <c r="B128" s="397" t="s">
        <v>1139</v>
      </c>
      <c r="C128" s="398"/>
      <c r="D128" s="398"/>
      <c r="E128" s="399">
        <v>56</v>
      </c>
      <c r="F128" s="399">
        <v>56</v>
      </c>
      <c r="G128" s="400">
        <v>0</v>
      </c>
      <c r="H128" s="399"/>
      <c r="I128" s="400"/>
      <c r="J128" s="917">
        <v>0</v>
      </c>
      <c r="K128" s="901"/>
    </row>
    <row r="129" spans="1:11" s="602" customFormat="1" ht="20.25" customHeight="1">
      <c r="A129" s="918" t="s">
        <v>896</v>
      </c>
      <c r="B129" s="401" t="s">
        <v>897</v>
      </c>
      <c r="C129" s="402" t="s">
        <v>867</v>
      </c>
      <c r="D129" s="402" t="s">
        <v>864</v>
      </c>
      <c r="E129" s="403">
        <v>33622</v>
      </c>
      <c r="F129" s="403">
        <v>33622</v>
      </c>
      <c r="G129" s="404">
        <v>98</v>
      </c>
      <c r="H129" s="403"/>
      <c r="I129" s="404"/>
      <c r="J129" s="919">
        <v>98</v>
      </c>
      <c r="K129" s="1107"/>
    </row>
    <row r="130" spans="1:11" s="602" customFormat="1" ht="20.25" customHeight="1">
      <c r="A130" s="916"/>
      <c r="B130" s="397" t="s">
        <v>1140</v>
      </c>
      <c r="C130" s="398"/>
      <c r="D130" s="398"/>
      <c r="E130" s="399">
        <v>31544</v>
      </c>
      <c r="F130" s="399">
        <v>31544</v>
      </c>
      <c r="G130" s="400">
        <v>0</v>
      </c>
      <c r="H130" s="399"/>
      <c r="I130" s="400"/>
      <c r="J130" s="917">
        <v>0</v>
      </c>
      <c r="K130" s="901"/>
    </row>
    <row r="131" spans="1:11" s="602" customFormat="1" ht="20.25" customHeight="1">
      <c r="A131" s="916"/>
      <c r="B131" s="397" t="s">
        <v>1136</v>
      </c>
      <c r="C131" s="398"/>
      <c r="D131" s="398"/>
      <c r="E131" s="399">
        <v>766</v>
      </c>
      <c r="F131" s="399">
        <v>766</v>
      </c>
      <c r="G131" s="400">
        <v>0</v>
      </c>
      <c r="H131" s="399"/>
      <c r="I131" s="400"/>
      <c r="J131" s="917">
        <v>0</v>
      </c>
      <c r="K131" s="901"/>
    </row>
    <row r="132" spans="1:11" s="602" customFormat="1" ht="20.25" customHeight="1">
      <c r="A132" s="916"/>
      <c r="B132" s="397" t="s">
        <v>1137</v>
      </c>
      <c r="C132" s="398"/>
      <c r="D132" s="398"/>
      <c r="E132" s="399">
        <v>1312</v>
      </c>
      <c r="F132" s="399">
        <v>1312</v>
      </c>
      <c r="G132" s="400">
        <v>98</v>
      </c>
      <c r="H132" s="399"/>
      <c r="I132" s="400"/>
      <c r="J132" s="917">
        <v>98</v>
      </c>
      <c r="K132" s="901"/>
    </row>
    <row r="133" spans="1:11" s="602" customFormat="1" ht="20.25" customHeight="1">
      <c r="A133" s="916"/>
      <c r="B133" s="397" t="s">
        <v>1138</v>
      </c>
      <c r="C133" s="398"/>
      <c r="D133" s="398"/>
      <c r="E133" s="399">
        <v>1269</v>
      </c>
      <c r="F133" s="399">
        <v>1269</v>
      </c>
      <c r="G133" s="400">
        <v>98</v>
      </c>
      <c r="H133" s="399"/>
      <c r="I133" s="400"/>
      <c r="J133" s="917">
        <v>98</v>
      </c>
      <c r="K133" s="901"/>
    </row>
    <row r="134" spans="1:11" s="602" customFormat="1" ht="20.25" customHeight="1">
      <c r="A134" s="916"/>
      <c r="B134" s="397" t="s">
        <v>1139</v>
      </c>
      <c r="C134" s="398"/>
      <c r="D134" s="398"/>
      <c r="E134" s="399">
        <v>43</v>
      </c>
      <c r="F134" s="399">
        <v>43</v>
      </c>
      <c r="G134" s="400">
        <v>0</v>
      </c>
      <c r="H134" s="399"/>
      <c r="I134" s="400"/>
      <c r="J134" s="917">
        <v>0</v>
      </c>
      <c r="K134" s="901"/>
    </row>
    <row r="135" spans="1:11" s="602" customFormat="1" ht="20.25" customHeight="1">
      <c r="A135" s="918" t="s">
        <v>898</v>
      </c>
      <c r="B135" s="401" t="s">
        <v>899</v>
      </c>
      <c r="C135" s="402" t="s">
        <v>900</v>
      </c>
      <c r="D135" s="402" t="s">
        <v>864</v>
      </c>
      <c r="E135" s="403">
        <v>45755</v>
      </c>
      <c r="F135" s="403">
        <v>45755</v>
      </c>
      <c r="G135" s="404">
        <v>326</v>
      </c>
      <c r="H135" s="403"/>
      <c r="I135" s="404"/>
      <c r="J135" s="919">
        <v>326</v>
      </c>
      <c r="K135" s="1107"/>
    </row>
    <row r="136" spans="1:11" s="602" customFormat="1" ht="20.25" customHeight="1">
      <c r="A136" s="916"/>
      <c r="B136" s="397" t="s">
        <v>1140</v>
      </c>
      <c r="C136" s="398"/>
      <c r="D136" s="398"/>
      <c r="E136" s="399">
        <v>43046</v>
      </c>
      <c r="F136" s="399">
        <v>43046</v>
      </c>
      <c r="G136" s="400">
        <v>0</v>
      </c>
      <c r="H136" s="399"/>
      <c r="I136" s="400"/>
      <c r="J136" s="917">
        <v>0</v>
      </c>
      <c r="K136" s="901"/>
    </row>
    <row r="137" spans="1:11" s="602" customFormat="1" ht="20.25" customHeight="1">
      <c r="A137" s="916"/>
      <c r="B137" s="397" t="s">
        <v>1136</v>
      </c>
      <c r="C137" s="398"/>
      <c r="D137" s="398"/>
      <c r="E137" s="399">
        <v>1045</v>
      </c>
      <c r="F137" s="399">
        <v>1045</v>
      </c>
      <c r="G137" s="400">
        <v>0</v>
      </c>
      <c r="H137" s="399"/>
      <c r="I137" s="400"/>
      <c r="J137" s="917">
        <v>0</v>
      </c>
      <c r="K137" s="901"/>
    </row>
    <row r="138" spans="1:11" s="602" customFormat="1" ht="20.25" customHeight="1">
      <c r="A138" s="916"/>
      <c r="B138" s="397" t="s">
        <v>1137</v>
      </c>
      <c r="C138" s="398"/>
      <c r="D138" s="398"/>
      <c r="E138" s="399">
        <v>1664</v>
      </c>
      <c r="F138" s="399">
        <v>1664</v>
      </c>
      <c r="G138" s="400">
        <v>326</v>
      </c>
      <c r="H138" s="399"/>
      <c r="I138" s="400"/>
      <c r="J138" s="917">
        <v>326</v>
      </c>
      <c r="K138" s="901"/>
    </row>
    <row r="139" spans="1:11" s="602" customFormat="1" ht="20.25" customHeight="1">
      <c r="A139" s="916"/>
      <c r="B139" s="397" t="s">
        <v>1134</v>
      </c>
      <c r="C139" s="398"/>
      <c r="D139" s="398"/>
      <c r="E139" s="399">
        <v>1558</v>
      </c>
      <c r="F139" s="399">
        <v>1558</v>
      </c>
      <c r="G139" s="400">
        <v>326</v>
      </c>
      <c r="H139" s="399"/>
      <c r="I139" s="400"/>
      <c r="J139" s="917">
        <v>326</v>
      </c>
      <c r="K139" s="901"/>
    </row>
    <row r="140" spans="1:11" s="602" customFormat="1" ht="20.25" customHeight="1">
      <c r="A140" s="916"/>
      <c r="B140" s="397" t="s">
        <v>1148</v>
      </c>
      <c r="C140" s="398"/>
      <c r="D140" s="398"/>
      <c r="E140" s="399">
        <v>106</v>
      </c>
      <c r="F140" s="399">
        <v>106</v>
      </c>
      <c r="G140" s="400">
        <v>0</v>
      </c>
      <c r="H140" s="399"/>
      <c r="I140" s="400"/>
      <c r="J140" s="917">
        <v>0</v>
      </c>
      <c r="K140" s="901"/>
    </row>
    <row r="141" spans="1:11" s="605" customFormat="1" ht="20.25" customHeight="1">
      <c r="A141" s="918" t="s">
        <v>1016</v>
      </c>
      <c r="B141" s="401" t="s">
        <v>1017</v>
      </c>
      <c r="C141" s="402" t="s">
        <v>902</v>
      </c>
      <c r="D141" s="402" t="s">
        <v>864</v>
      </c>
      <c r="E141" s="403">
        <v>2090</v>
      </c>
      <c r="F141" s="403">
        <v>312</v>
      </c>
      <c r="G141" s="404">
        <v>0</v>
      </c>
      <c r="H141" s="403"/>
      <c r="I141" s="404"/>
      <c r="J141" s="919">
        <v>312</v>
      </c>
      <c r="K141" s="1108"/>
    </row>
    <row r="142" spans="1:11" s="602" customFormat="1" ht="20.25" customHeight="1">
      <c r="A142" s="916"/>
      <c r="B142" s="397" t="s">
        <v>1140</v>
      </c>
      <c r="C142" s="398"/>
      <c r="D142" s="398"/>
      <c r="E142" s="399">
        <v>0</v>
      </c>
      <c r="F142" s="399">
        <v>0</v>
      </c>
      <c r="G142" s="400">
        <v>0</v>
      </c>
      <c r="H142" s="399"/>
      <c r="I142" s="400"/>
      <c r="J142" s="917">
        <v>0</v>
      </c>
      <c r="K142" s="901"/>
    </row>
    <row r="143" spans="1:11" s="602" customFormat="1" ht="20.25" customHeight="1">
      <c r="A143" s="916"/>
      <c r="B143" s="397" t="s">
        <v>1141</v>
      </c>
      <c r="C143" s="398"/>
      <c r="D143" s="398"/>
      <c r="E143" s="399">
        <v>2000</v>
      </c>
      <c r="F143" s="399">
        <v>297</v>
      </c>
      <c r="G143" s="400">
        <v>0</v>
      </c>
      <c r="H143" s="399"/>
      <c r="I143" s="400"/>
      <c r="J143" s="917">
        <v>297</v>
      </c>
      <c r="K143" s="901"/>
    </row>
    <row r="144" spans="1:11" s="602" customFormat="1" ht="20.25" customHeight="1">
      <c r="A144" s="916"/>
      <c r="B144" s="397" t="s">
        <v>1142</v>
      </c>
      <c r="C144" s="398"/>
      <c r="D144" s="398"/>
      <c r="E144" s="399">
        <v>90</v>
      </c>
      <c r="F144" s="399">
        <v>15</v>
      </c>
      <c r="G144" s="400">
        <v>0</v>
      </c>
      <c r="H144" s="399"/>
      <c r="I144" s="400"/>
      <c r="J144" s="917">
        <v>15</v>
      </c>
      <c r="K144" s="901"/>
    </row>
    <row r="145" spans="1:11" s="602" customFormat="1" ht="20.25" customHeight="1">
      <c r="A145" s="916"/>
      <c r="B145" s="397" t="s">
        <v>1143</v>
      </c>
      <c r="C145" s="398"/>
      <c r="D145" s="398"/>
      <c r="E145" s="399">
        <v>0</v>
      </c>
      <c r="F145" s="399">
        <v>0</v>
      </c>
      <c r="G145" s="400">
        <v>0</v>
      </c>
      <c r="H145" s="399"/>
      <c r="I145" s="400"/>
      <c r="J145" s="917">
        <v>0</v>
      </c>
      <c r="K145" s="901"/>
    </row>
    <row r="146" spans="1:11" s="602" customFormat="1" ht="20.25" customHeight="1" thickBot="1">
      <c r="A146" s="926"/>
      <c r="B146" s="927" t="s">
        <v>1139</v>
      </c>
      <c r="C146" s="928"/>
      <c r="D146" s="928"/>
      <c r="E146" s="929">
        <v>90</v>
      </c>
      <c r="F146" s="929">
        <v>15</v>
      </c>
      <c r="G146" s="930">
        <v>0</v>
      </c>
      <c r="H146" s="929"/>
      <c r="I146" s="930"/>
      <c r="J146" s="931">
        <v>15</v>
      </c>
      <c r="K146" s="901"/>
    </row>
    <row r="147" spans="1:10" s="500" customFormat="1" ht="20.25" customHeight="1">
      <c r="A147" s="941" t="s">
        <v>167</v>
      </c>
      <c r="B147" s="381"/>
      <c r="C147" s="382"/>
      <c r="D147" s="382"/>
      <c r="E147" s="383"/>
      <c r="F147" s="383"/>
      <c r="G147" s="383"/>
      <c r="H147" s="383"/>
      <c r="I147" s="383"/>
      <c r="J147" s="387"/>
    </row>
    <row r="148" spans="1:10" s="500" customFormat="1" ht="20.25" customHeight="1">
      <c r="A148" s="380"/>
      <c r="B148" s="381"/>
      <c r="C148" s="382"/>
      <c r="D148" s="382"/>
      <c r="E148" s="383"/>
      <c r="F148" s="383"/>
      <c r="G148" s="383"/>
      <c r="H148" s="383"/>
      <c r="I148" s="383"/>
      <c r="J148" s="383"/>
    </row>
    <row r="149" spans="1:10" s="500" customFormat="1" ht="20.25" customHeight="1">
      <c r="A149" s="477" t="s">
        <v>1003</v>
      </c>
      <c r="B149" s="384"/>
      <c r="C149" s="385"/>
      <c r="D149" s="385"/>
      <c r="E149" s="386"/>
      <c r="F149" s="386"/>
      <c r="G149" s="386"/>
      <c r="H149" s="386"/>
      <c r="I149" s="386"/>
      <c r="J149" s="387" t="s">
        <v>1004</v>
      </c>
    </row>
    <row r="150" spans="1:10" s="574" customFormat="1" ht="20.25" customHeight="1" thickBot="1">
      <c r="A150" s="380"/>
      <c r="B150" s="381"/>
      <c r="C150" s="382"/>
      <c r="D150" s="382"/>
      <c r="E150" s="383"/>
      <c r="F150" s="383"/>
      <c r="G150" s="384"/>
      <c r="H150" s="383"/>
      <c r="I150" s="387"/>
      <c r="J150" s="8" t="s">
        <v>257</v>
      </c>
    </row>
    <row r="151" spans="1:11" s="602" customFormat="1" ht="20.25" customHeight="1">
      <c r="A151" s="903" t="s">
        <v>833</v>
      </c>
      <c r="B151" s="904"/>
      <c r="C151" s="905" t="s">
        <v>267</v>
      </c>
      <c r="D151" s="905" t="s">
        <v>834</v>
      </c>
      <c r="E151" s="906" t="s">
        <v>835</v>
      </c>
      <c r="F151" s="906" t="s">
        <v>836</v>
      </c>
      <c r="G151" s="907" t="s">
        <v>837</v>
      </c>
      <c r="H151" s="908"/>
      <c r="I151" s="907"/>
      <c r="J151" s="909" t="s">
        <v>838</v>
      </c>
      <c r="K151" s="901"/>
    </row>
    <row r="152" spans="1:11" s="602" customFormat="1" ht="20.25" customHeight="1">
      <c r="A152" s="910" t="s">
        <v>839</v>
      </c>
      <c r="B152" s="608" t="s">
        <v>840</v>
      </c>
      <c r="C152" s="607" t="s">
        <v>841</v>
      </c>
      <c r="D152" s="607" t="s">
        <v>842</v>
      </c>
      <c r="E152" s="609" t="s">
        <v>843</v>
      </c>
      <c r="F152" s="609" t="s">
        <v>844</v>
      </c>
      <c r="G152" s="610" t="s">
        <v>845</v>
      </c>
      <c r="H152" s="611"/>
      <c r="I152" s="610"/>
      <c r="J152" s="911" t="s">
        <v>845</v>
      </c>
      <c r="K152" s="901"/>
    </row>
    <row r="153" spans="1:11" s="602" customFormat="1" ht="20.25" customHeight="1" thickBot="1">
      <c r="A153" s="1074"/>
      <c r="B153" s="1075"/>
      <c r="C153" s="1076"/>
      <c r="D153" s="1076"/>
      <c r="E153" s="1077" t="s">
        <v>846</v>
      </c>
      <c r="F153" s="1077">
        <v>2007</v>
      </c>
      <c r="G153" s="1078" t="s">
        <v>1005</v>
      </c>
      <c r="H153" s="1079"/>
      <c r="I153" s="1078"/>
      <c r="J153" s="1080" t="s">
        <v>1005</v>
      </c>
      <c r="K153" s="901"/>
    </row>
    <row r="154" spans="1:11" s="605" customFormat="1" ht="20.25" customHeight="1">
      <c r="A154" s="1095" t="s">
        <v>901</v>
      </c>
      <c r="B154" s="1096" t="s">
        <v>1018</v>
      </c>
      <c r="C154" s="1097" t="s">
        <v>902</v>
      </c>
      <c r="D154" s="1097" t="s">
        <v>864</v>
      </c>
      <c r="E154" s="1098">
        <v>2125</v>
      </c>
      <c r="F154" s="1098">
        <v>208</v>
      </c>
      <c r="G154" s="1099">
        <v>0</v>
      </c>
      <c r="H154" s="1098"/>
      <c r="I154" s="1099"/>
      <c r="J154" s="1100">
        <v>0</v>
      </c>
      <c r="K154" s="1108"/>
    </row>
    <row r="155" spans="1:11" s="602" customFormat="1" ht="20.25" customHeight="1">
      <c r="A155" s="916"/>
      <c r="B155" s="397" t="s">
        <v>1140</v>
      </c>
      <c r="C155" s="398"/>
      <c r="D155" s="398"/>
      <c r="E155" s="399">
        <v>0</v>
      </c>
      <c r="F155" s="399">
        <v>0</v>
      </c>
      <c r="G155" s="400">
        <v>0</v>
      </c>
      <c r="H155" s="399"/>
      <c r="I155" s="400"/>
      <c r="J155" s="917">
        <v>0</v>
      </c>
      <c r="K155" s="901"/>
    </row>
    <row r="156" spans="1:11" s="602" customFormat="1" ht="20.25" customHeight="1">
      <c r="A156" s="916"/>
      <c r="B156" s="397" t="s">
        <v>1141</v>
      </c>
      <c r="C156" s="398"/>
      <c r="D156" s="398"/>
      <c r="E156" s="399">
        <v>2000</v>
      </c>
      <c r="F156" s="399">
        <v>196</v>
      </c>
      <c r="G156" s="400">
        <v>0</v>
      </c>
      <c r="H156" s="399"/>
      <c r="I156" s="400"/>
      <c r="J156" s="917">
        <v>0</v>
      </c>
      <c r="K156" s="901"/>
    </row>
    <row r="157" spans="1:11" s="602" customFormat="1" ht="20.25" customHeight="1">
      <c r="A157" s="916"/>
      <c r="B157" s="397" t="s">
        <v>1142</v>
      </c>
      <c r="C157" s="398"/>
      <c r="D157" s="398"/>
      <c r="E157" s="399">
        <v>125</v>
      </c>
      <c r="F157" s="399">
        <v>12</v>
      </c>
      <c r="G157" s="400">
        <v>0</v>
      </c>
      <c r="H157" s="399"/>
      <c r="I157" s="400"/>
      <c r="J157" s="917">
        <v>0</v>
      </c>
      <c r="K157" s="901"/>
    </row>
    <row r="158" spans="1:11" s="602" customFormat="1" ht="20.25" customHeight="1">
      <c r="A158" s="916"/>
      <c r="B158" s="397" t="s">
        <v>1147</v>
      </c>
      <c r="C158" s="398"/>
      <c r="D158" s="398"/>
      <c r="E158" s="399">
        <v>0</v>
      </c>
      <c r="F158" s="399">
        <v>0</v>
      </c>
      <c r="G158" s="400">
        <v>0</v>
      </c>
      <c r="H158" s="399"/>
      <c r="I158" s="400"/>
      <c r="J158" s="917">
        <v>0</v>
      </c>
      <c r="K158" s="901"/>
    </row>
    <row r="159" spans="1:11" s="602" customFormat="1" ht="20.25" customHeight="1">
      <c r="A159" s="916"/>
      <c r="B159" s="397" t="s">
        <v>1145</v>
      </c>
      <c r="C159" s="398"/>
      <c r="D159" s="398"/>
      <c r="E159" s="399">
        <v>125</v>
      </c>
      <c r="F159" s="399">
        <v>12</v>
      </c>
      <c r="G159" s="400">
        <v>0</v>
      </c>
      <c r="H159" s="399"/>
      <c r="I159" s="400"/>
      <c r="J159" s="917">
        <v>0</v>
      </c>
      <c r="K159" s="901"/>
    </row>
    <row r="160" spans="1:11" s="602" customFormat="1" ht="20.25" customHeight="1">
      <c r="A160" s="918" t="s">
        <v>903</v>
      </c>
      <c r="B160" s="401" t="s">
        <v>904</v>
      </c>
      <c r="C160" s="402" t="s">
        <v>905</v>
      </c>
      <c r="D160" s="402" t="s">
        <v>906</v>
      </c>
      <c r="E160" s="403">
        <v>41980</v>
      </c>
      <c r="F160" s="403">
        <v>808</v>
      </c>
      <c r="G160" s="404">
        <v>727</v>
      </c>
      <c r="H160" s="403"/>
      <c r="I160" s="404"/>
      <c r="J160" s="919">
        <v>727</v>
      </c>
      <c r="K160" s="1107"/>
    </row>
    <row r="161" spans="1:11" s="602" customFormat="1" ht="20.25" customHeight="1">
      <c r="A161" s="916"/>
      <c r="B161" s="397" t="s">
        <v>1140</v>
      </c>
      <c r="C161" s="398"/>
      <c r="D161" s="398"/>
      <c r="E161" s="399">
        <v>39974</v>
      </c>
      <c r="F161" s="399">
        <v>0</v>
      </c>
      <c r="G161" s="400">
        <v>0</v>
      </c>
      <c r="H161" s="399"/>
      <c r="I161" s="400"/>
      <c r="J161" s="917">
        <v>0</v>
      </c>
      <c r="K161" s="901"/>
    </row>
    <row r="162" spans="1:11" s="602" customFormat="1" ht="20.25" customHeight="1">
      <c r="A162" s="916"/>
      <c r="B162" s="397" t="s">
        <v>1141</v>
      </c>
      <c r="C162" s="398"/>
      <c r="D162" s="398"/>
      <c r="E162" s="399">
        <v>756</v>
      </c>
      <c r="F162" s="399">
        <v>756</v>
      </c>
      <c r="G162" s="400">
        <v>678</v>
      </c>
      <c r="H162" s="399"/>
      <c r="I162" s="400"/>
      <c r="J162" s="917">
        <v>678</v>
      </c>
      <c r="K162" s="901"/>
    </row>
    <row r="163" spans="1:11" s="602" customFormat="1" ht="20.25" customHeight="1">
      <c r="A163" s="916"/>
      <c r="B163" s="397" t="s">
        <v>1142</v>
      </c>
      <c r="C163" s="398"/>
      <c r="D163" s="398"/>
      <c r="E163" s="399">
        <v>1250</v>
      </c>
      <c r="F163" s="399">
        <v>52</v>
      </c>
      <c r="G163" s="400">
        <v>49</v>
      </c>
      <c r="H163" s="399"/>
      <c r="I163" s="400"/>
      <c r="J163" s="917">
        <v>49</v>
      </c>
      <c r="K163" s="901"/>
    </row>
    <row r="164" spans="1:11" s="602" customFormat="1" ht="20.25" customHeight="1">
      <c r="A164" s="916"/>
      <c r="B164" s="397" t="s">
        <v>1147</v>
      </c>
      <c r="C164" s="398"/>
      <c r="D164" s="398"/>
      <c r="E164" s="399">
        <v>1198</v>
      </c>
      <c r="F164" s="399">
        <v>0</v>
      </c>
      <c r="G164" s="400">
        <v>0</v>
      </c>
      <c r="H164" s="399"/>
      <c r="I164" s="400"/>
      <c r="J164" s="917">
        <v>0</v>
      </c>
      <c r="K164" s="901"/>
    </row>
    <row r="165" spans="1:11" s="602" customFormat="1" ht="20.25" customHeight="1">
      <c r="A165" s="916"/>
      <c r="B165" s="397" t="s">
        <v>1145</v>
      </c>
      <c r="C165" s="398"/>
      <c r="D165" s="398"/>
      <c r="E165" s="399">
        <v>52</v>
      </c>
      <c r="F165" s="399">
        <v>52</v>
      </c>
      <c r="G165" s="400">
        <v>49</v>
      </c>
      <c r="H165" s="399"/>
      <c r="I165" s="400"/>
      <c r="J165" s="917">
        <v>49</v>
      </c>
      <c r="K165" s="901"/>
    </row>
    <row r="166" spans="1:11" s="605" customFormat="1" ht="20.25" customHeight="1">
      <c r="A166" s="918" t="s">
        <v>907</v>
      </c>
      <c r="B166" s="401" t="s">
        <v>908</v>
      </c>
      <c r="C166" s="402" t="s">
        <v>909</v>
      </c>
      <c r="D166" s="402" t="s">
        <v>893</v>
      </c>
      <c r="E166" s="403">
        <v>52935</v>
      </c>
      <c r="F166" s="403">
        <v>626</v>
      </c>
      <c r="G166" s="404">
        <f>SUM(G167:G169)</f>
        <v>626</v>
      </c>
      <c r="H166" s="403"/>
      <c r="I166" s="404"/>
      <c r="J166" s="919">
        <f>SUM(J167:J169)</f>
        <v>626</v>
      </c>
      <c r="K166" s="1108"/>
    </row>
    <row r="167" spans="1:11" s="602" customFormat="1" ht="20.25" customHeight="1">
      <c r="A167" s="916"/>
      <c r="B167" s="397" t="s">
        <v>1140</v>
      </c>
      <c r="C167" s="398"/>
      <c r="D167" s="398"/>
      <c r="E167" s="399">
        <v>50590</v>
      </c>
      <c r="F167" s="399">
        <v>0</v>
      </c>
      <c r="G167" s="400">
        <v>0</v>
      </c>
      <c r="H167" s="399"/>
      <c r="I167" s="400"/>
      <c r="J167" s="917">
        <v>0</v>
      </c>
      <c r="K167" s="901"/>
    </row>
    <row r="168" spans="1:11" s="602" customFormat="1" ht="20.25" customHeight="1">
      <c r="A168" s="916"/>
      <c r="B168" s="397" t="s">
        <v>1141</v>
      </c>
      <c r="C168" s="398"/>
      <c r="D168" s="398"/>
      <c r="E168" s="399">
        <v>780</v>
      </c>
      <c r="F168" s="399">
        <v>571</v>
      </c>
      <c r="G168" s="400">
        <v>571</v>
      </c>
      <c r="H168" s="399"/>
      <c r="I168" s="400"/>
      <c r="J168" s="917">
        <v>571</v>
      </c>
      <c r="K168" s="901"/>
    </row>
    <row r="169" spans="1:11" s="602" customFormat="1" ht="20.25" customHeight="1">
      <c r="A169" s="916"/>
      <c r="B169" s="397" t="s">
        <v>1142</v>
      </c>
      <c r="C169" s="398"/>
      <c r="D169" s="398"/>
      <c r="E169" s="399">
        <v>1565</v>
      </c>
      <c r="F169" s="399">
        <v>55</v>
      </c>
      <c r="G169" s="400">
        <f>SUM(G170:G171)</f>
        <v>55</v>
      </c>
      <c r="H169" s="399"/>
      <c r="I169" s="400"/>
      <c r="J169" s="917">
        <f>SUM(J170:J171)</f>
        <v>55</v>
      </c>
      <c r="K169" s="901"/>
    </row>
    <row r="170" spans="1:11" s="602" customFormat="1" ht="20.25" customHeight="1">
      <c r="A170" s="916"/>
      <c r="B170" s="397" t="s">
        <v>1147</v>
      </c>
      <c r="C170" s="398"/>
      <c r="D170" s="398"/>
      <c r="E170" s="399">
        <v>1490</v>
      </c>
      <c r="F170" s="399">
        <v>0</v>
      </c>
      <c r="G170" s="400">
        <v>0</v>
      </c>
      <c r="H170" s="399"/>
      <c r="I170" s="400"/>
      <c r="J170" s="917">
        <v>0</v>
      </c>
      <c r="K170" s="901"/>
    </row>
    <row r="171" spans="1:11" s="602" customFormat="1" ht="20.25" customHeight="1">
      <c r="A171" s="916"/>
      <c r="B171" s="397" t="s">
        <v>1145</v>
      </c>
      <c r="C171" s="398"/>
      <c r="D171" s="398"/>
      <c r="E171" s="399">
        <v>75</v>
      </c>
      <c r="F171" s="399">
        <v>55</v>
      </c>
      <c r="G171" s="400">
        <v>55</v>
      </c>
      <c r="H171" s="399"/>
      <c r="I171" s="400"/>
      <c r="J171" s="917">
        <v>55</v>
      </c>
      <c r="K171" s="901"/>
    </row>
    <row r="172" spans="1:11" s="605" customFormat="1" ht="20.25" customHeight="1">
      <c r="A172" s="918" t="s">
        <v>910</v>
      </c>
      <c r="B172" s="401" t="s">
        <v>911</v>
      </c>
      <c r="C172" s="402" t="s">
        <v>877</v>
      </c>
      <c r="D172" s="402" t="s">
        <v>912</v>
      </c>
      <c r="E172" s="403">
        <v>34005</v>
      </c>
      <c r="F172" s="403">
        <v>26480</v>
      </c>
      <c r="G172" s="404">
        <f>SUM(G173:G175)</f>
        <v>25748</v>
      </c>
      <c r="H172" s="403"/>
      <c r="I172" s="404"/>
      <c r="J172" s="919">
        <f>SUM(J173:J175)</f>
        <v>23670</v>
      </c>
      <c r="K172" s="1108"/>
    </row>
    <row r="173" spans="1:11" s="602" customFormat="1" ht="20.25" customHeight="1">
      <c r="A173" s="916"/>
      <c r="B173" s="397" t="s">
        <v>1140</v>
      </c>
      <c r="C173" s="398"/>
      <c r="D173" s="398"/>
      <c r="E173" s="399">
        <v>32252</v>
      </c>
      <c r="F173" s="399">
        <v>24988</v>
      </c>
      <c r="G173" s="400">
        <v>24988</v>
      </c>
      <c r="H173" s="399"/>
      <c r="I173" s="400"/>
      <c r="J173" s="917">
        <v>22255</v>
      </c>
      <c r="K173" s="901"/>
    </row>
    <row r="174" spans="1:11" s="602" customFormat="1" ht="20.25" customHeight="1">
      <c r="A174" s="916"/>
      <c r="B174" s="397" t="s">
        <v>1136</v>
      </c>
      <c r="C174" s="398"/>
      <c r="D174" s="398"/>
      <c r="E174" s="399">
        <v>790</v>
      </c>
      <c r="F174" s="399">
        <v>732</v>
      </c>
      <c r="G174" s="400">
        <v>0</v>
      </c>
      <c r="H174" s="399"/>
      <c r="I174" s="400"/>
      <c r="J174" s="917">
        <v>732</v>
      </c>
      <c r="K174" s="901"/>
    </row>
    <row r="175" spans="1:11" s="602" customFormat="1" ht="20.25" customHeight="1">
      <c r="A175" s="916"/>
      <c r="B175" s="397" t="s">
        <v>1137</v>
      </c>
      <c r="C175" s="398"/>
      <c r="D175" s="398"/>
      <c r="E175" s="399">
        <v>963</v>
      </c>
      <c r="F175" s="399">
        <v>760</v>
      </c>
      <c r="G175" s="400">
        <f>SUM(G176:G177)</f>
        <v>760</v>
      </c>
      <c r="H175" s="399"/>
      <c r="I175" s="400"/>
      <c r="J175" s="917">
        <f>SUM(J176:J177)</f>
        <v>683</v>
      </c>
      <c r="K175" s="901"/>
    </row>
    <row r="176" spans="1:11" s="602" customFormat="1" ht="20.25" customHeight="1">
      <c r="A176" s="916"/>
      <c r="B176" s="397" t="s">
        <v>1138</v>
      </c>
      <c r="C176" s="398"/>
      <c r="D176" s="398"/>
      <c r="E176" s="399">
        <v>903</v>
      </c>
      <c r="F176" s="399">
        <v>701</v>
      </c>
      <c r="G176" s="400">
        <v>701</v>
      </c>
      <c r="H176" s="399"/>
      <c r="I176" s="400"/>
      <c r="J176" s="917">
        <v>624</v>
      </c>
      <c r="K176" s="901"/>
    </row>
    <row r="177" spans="1:11" s="602" customFormat="1" ht="20.25" customHeight="1">
      <c r="A177" s="916"/>
      <c r="B177" s="397" t="s">
        <v>1139</v>
      </c>
      <c r="C177" s="398"/>
      <c r="D177" s="398"/>
      <c r="E177" s="399">
        <v>60</v>
      </c>
      <c r="F177" s="399">
        <v>59</v>
      </c>
      <c r="G177" s="400">
        <v>59</v>
      </c>
      <c r="H177" s="399"/>
      <c r="I177" s="400"/>
      <c r="J177" s="917">
        <v>59</v>
      </c>
      <c r="K177" s="901"/>
    </row>
    <row r="178" spans="1:11" s="605" customFormat="1" ht="20.25" customHeight="1">
      <c r="A178" s="918" t="s">
        <v>913</v>
      </c>
      <c r="B178" s="401" t="s">
        <v>914</v>
      </c>
      <c r="C178" s="402" t="s">
        <v>877</v>
      </c>
      <c r="D178" s="402" t="s">
        <v>912</v>
      </c>
      <c r="E178" s="403">
        <v>33976</v>
      </c>
      <c r="F178" s="403">
        <v>24648</v>
      </c>
      <c r="G178" s="404">
        <f>SUM(G179:G181)</f>
        <v>23982</v>
      </c>
      <c r="H178" s="403"/>
      <c r="I178" s="404"/>
      <c r="J178" s="919">
        <f>SUM(J179:J181)</f>
        <v>21444</v>
      </c>
      <c r="K178" s="1108"/>
    </row>
    <row r="179" spans="1:11" s="602" customFormat="1" ht="20.25" customHeight="1">
      <c r="A179" s="916"/>
      <c r="B179" s="397" t="s">
        <v>1140</v>
      </c>
      <c r="C179" s="398"/>
      <c r="D179" s="398"/>
      <c r="E179" s="399">
        <v>32291</v>
      </c>
      <c r="F179" s="399">
        <v>23276</v>
      </c>
      <c r="G179" s="400">
        <v>23276</v>
      </c>
      <c r="H179" s="399"/>
      <c r="I179" s="400"/>
      <c r="J179" s="917">
        <v>20159</v>
      </c>
      <c r="K179" s="901"/>
    </row>
    <row r="180" spans="1:11" s="602" customFormat="1" ht="20.25" customHeight="1">
      <c r="A180" s="916"/>
      <c r="B180" s="397" t="s">
        <v>1136</v>
      </c>
      <c r="C180" s="398"/>
      <c r="D180" s="398"/>
      <c r="E180" s="399">
        <v>720</v>
      </c>
      <c r="F180" s="399">
        <v>666</v>
      </c>
      <c r="G180" s="400">
        <v>0</v>
      </c>
      <c r="H180" s="399"/>
      <c r="I180" s="400"/>
      <c r="J180" s="917">
        <v>666</v>
      </c>
      <c r="K180" s="901"/>
    </row>
    <row r="181" spans="1:11" s="602" customFormat="1" ht="20.25" customHeight="1">
      <c r="A181" s="916"/>
      <c r="B181" s="397" t="s">
        <v>1137</v>
      </c>
      <c r="C181" s="398"/>
      <c r="D181" s="398"/>
      <c r="E181" s="399">
        <v>965</v>
      </c>
      <c r="F181" s="399">
        <v>706</v>
      </c>
      <c r="G181" s="400">
        <f>SUM(G182:G183)</f>
        <v>706</v>
      </c>
      <c r="H181" s="399"/>
      <c r="I181" s="400"/>
      <c r="J181" s="917">
        <f>SUM(J182:J183)</f>
        <v>619</v>
      </c>
      <c r="K181" s="901"/>
    </row>
    <row r="182" spans="1:11" s="602" customFormat="1" ht="20.25" customHeight="1">
      <c r="A182" s="916"/>
      <c r="B182" s="397" t="s">
        <v>1138</v>
      </c>
      <c r="C182" s="398"/>
      <c r="D182" s="398"/>
      <c r="E182" s="399">
        <v>905</v>
      </c>
      <c r="F182" s="399">
        <v>653</v>
      </c>
      <c r="G182" s="400">
        <v>653</v>
      </c>
      <c r="H182" s="399"/>
      <c r="I182" s="400"/>
      <c r="J182" s="917">
        <v>566</v>
      </c>
      <c r="K182" s="901"/>
    </row>
    <row r="183" spans="1:11" s="602" customFormat="1" ht="20.25" customHeight="1">
      <c r="A183" s="916"/>
      <c r="B183" s="397" t="s">
        <v>1139</v>
      </c>
      <c r="C183" s="398"/>
      <c r="D183" s="398"/>
      <c r="E183" s="399">
        <v>60</v>
      </c>
      <c r="F183" s="399">
        <v>53</v>
      </c>
      <c r="G183" s="400">
        <v>53</v>
      </c>
      <c r="H183" s="399"/>
      <c r="I183" s="400"/>
      <c r="J183" s="917">
        <v>53</v>
      </c>
      <c r="K183" s="901"/>
    </row>
    <row r="184" spans="1:11" s="605" customFormat="1" ht="20.25" customHeight="1">
      <c r="A184" s="918" t="s">
        <v>915</v>
      </c>
      <c r="B184" s="401" t="s">
        <v>916</v>
      </c>
      <c r="C184" s="402" t="s">
        <v>917</v>
      </c>
      <c r="D184" s="402" t="s">
        <v>893</v>
      </c>
      <c r="E184" s="403">
        <v>48866</v>
      </c>
      <c r="F184" s="403">
        <f>SUM(F185:F187)</f>
        <v>48828</v>
      </c>
      <c r="G184" s="404">
        <f>SUM(G185:G187)</f>
        <v>48198</v>
      </c>
      <c r="H184" s="403"/>
      <c r="I184" s="404"/>
      <c r="J184" s="919">
        <f>SUM(J185:J187)</f>
        <v>46596</v>
      </c>
      <c r="K184" s="1108"/>
    </row>
    <row r="185" spans="1:11" s="602" customFormat="1" ht="20.25" customHeight="1">
      <c r="A185" s="916"/>
      <c r="B185" s="397" t="s">
        <v>1140</v>
      </c>
      <c r="C185" s="398"/>
      <c r="D185" s="398"/>
      <c r="E185" s="399">
        <v>47087</v>
      </c>
      <c r="F185" s="399">
        <v>47087</v>
      </c>
      <c r="G185" s="400">
        <v>47087</v>
      </c>
      <c r="H185" s="399"/>
      <c r="I185" s="400"/>
      <c r="J185" s="917">
        <v>45517</v>
      </c>
      <c r="K185" s="901"/>
    </row>
    <row r="186" spans="1:11" s="602" customFormat="1" ht="20.25" customHeight="1">
      <c r="A186" s="916"/>
      <c r="B186" s="397" t="s">
        <v>1136</v>
      </c>
      <c r="C186" s="398"/>
      <c r="D186" s="398"/>
      <c r="E186" s="399">
        <v>629</v>
      </c>
      <c r="F186" s="399">
        <v>569</v>
      </c>
      <c r="G186" s="400">
        <v>0</v>
      </c>
      <c r="H186" s="399"/>
      <c r="I186" s="400"/>
      <c r="J186" s="917">
        <v>0</v>
      </c>
      <c r="K186" s="901"/>
    </row>
    <row r="187" spans="1:11" s="602" customFormat="1" ht="20.25" customHeight="1">
      <c r="A187" s="916"/>
      <c r="B187" s="397" t="s">
        <v>1137</v>
      </c>
      <c r="C187" s="398"/>
      <c r="D187" s="398"/>
      <c r="E187" s="399">
        <v>1172</v>
      </c>
      <c r="F187" s="399">
        <v>1172</v>
      </c>
      <c r="G187" s="400">
        <v>1111</v>
      </c>
      <c r="H187" s="399"/>
      <c r="I187" s="400"/>
      <c r="J187" s="917">
        <v>1079</v>
      </c>
      <c r="K187" s="901"/>
    </row>
    <row r="188" spans="1:11" s="602" customFormat="1" ht="20.25" customHeight="1">
      <c r="A188" s="916"/>
      <c r="B188" s="397" t="s">
        <v>1138</v>
      </c>
      <c r="C188" s="398"/>
      <c r="D188" s="398"/>
      <c r="E188" s="399">
        <v>1111</v>
      </c>
      <c r="F188" s="399">
        <v>1111</v>
      </c>
      <c r="G188" s="400">
        <v>1111</v>
      </c>
      <c r="H188" s="399"/>
      <c r="I188" s="400"/>
      <c r="J188" s="917">
        <v>1079</v>
      </c>
      <c r="K188" s="901"/>
    </row>
    <row r="189" spans="1:11" s="602" customFormat="1" ht="20.25" customHeight="1">
      <c r="A189" s="916"/>
      <c r="B189" s="397" t="s">
        <v>1139</v>
      </c>
      <c r="C189" s="398"/>
      <c r="D189" s="398"/>
      <c r="E189" s="399">
        <v>61</v>
      </c>
      <c r="F189" s="399">
        <v>61</v>
      </c>
      <c r="G189" s="400">
        <v>0</v>
      </c>
      <c r="H189" s="399"/>
      <c r="I189" s="400"/>
      <c r="J189" s="917">
        <v>0</v>
      </c>
      <c r="K189" s="901"/>
    </row>
    <row r="190" spans="1:11" s="605" customFormat="1" ht="20.25" customHeight="1">
      <c r="A190" s="918" t="s">
        <v>918</v>
      </c>
      <c r="B190" s="401" t="s">
        <v>919</v>
      </c>
      <c r="C190" s="402" t="s">
        <v>920</v>
      </c>
      <c r="D190" s="402" t="s">
        <v>860</v>
      </c>
      <c r="E190" s="403">
        <v>56762</v>
      </c>
      <c r="F190" s="403">
        <v>53762</v>
      </c>
      <c r="G190" s="404">
        <f>SUM(G191:G193)</f>
        <v>16982</v>
      </c>
      <c r="H190" s="403"/>
      <c r="I190" s="404"/>
      <c r="J190" s="919">
        <f>SUM(J191:J193)</f>
        <v>16982</v>
      </c>
      <c r="K190" s="1108"/>
    </row>
    <row r="191" spans="1:11" s="602" customFormat="1" ht="20.25" customHeight="1">
      <c r="A191" s="916"/>
      <c r="B191" s="397" t="s">
        <v>1140</v>
      </c>
      <c r="C191" s="398"/>
      <c r="D191" s="398"/>
      <c r="E191" s="399">
        <v>51168</v>
      </c>
      <c r="F191" s="399">
        <v>51168</v>
      </c>
      <c r="G191" s="400">
        <v>16092</v>
      </c>
      <c r="H191" s="399"/>
      <c r="I191" s="400"/>
      <c r="J191" s="917">
        <v>16092</v>
      </c>
      <c r="K191" s="901"/>
    </row>
    <row r="192" spans="1:11" s="602" customFormat="1" ht="20.25" customHeight="1">
      <c r="A192" s="916"/>
      <c r="B192" s="397" t="s">
        <v>1141</v>
      </c>
      <c r="C192" s="398"/>
      <c r="D192" s="398"/>
      <c r="E192" s="399">
        <v>774</v>
      </c>
      <c r="F192" s="399">
        <v>774</v>
      </c>
      <c r="G192" s="400">
        <v>89</v>
      </c>
      <c r="H192" s="399"/>
      <c r="I192" s="400"/>
      <c r="J192" s="917">
        <v>89</v>
      </c>
      <c r="K192" s="901"/>
    </row>
    <row r="193" spans="1:11" s="602" customFormat="1" ht="20.25" customHeight="1">
      <c r="A193" s="916"/>
      <c r="B193" s="397" t="s">
        <v>1142</v>
      </c>
      <c r="C193" s="398"/>
      <c r="D193" s="398"/>
      <c r="E193" s="399">
        <v>1820</v>
      </c>
      <c r="F193" s="399">
        <v>1820</v>
      </c>
      <c r="G193" s="400">
        <v>801</v>
      </c>
      <c r="H193" s="399"/>
      <c r="I193" s="400"/>
      <c r="J193" s="917">
        <v>801</v>
      </c>
      <c r="K193" s="901"/>
    </row>
    <row r="194" spans="1:11" s="602" customFormat="1" ht="20.25" customHeight="1">
      <c r="A194" s="916"/>
      <c r="B194" s="397" t="s">
        <v>1147</v>
      </c>
      <c r="C194" s="398"/>
      <c r="D194" s="398"/>
      <c r="E194" s="399">
        <v>1790</v>
      </c>
      <c r="F194" s="399">
        <v>1790</v>
      </c>
      <c r="G194" s="400">
        <v>791</v>
      </c>
      <c r="H194" s="399"/>
      <c r="I194" s="400"/>
      <c r="J194" s="917">
        <v>791</v>
      </c>
      <c r="K194" s="901"/>
    </row>
    <row r="195" spans="1:11" s="602" customFormat="1" ht="20.25" customHeight="1">
      <c r="A195" s="916"/>
      <c r="B195" s="397" t="s">
        <v>1145</v>
      </c>
      <c r="C195" s="398"/>
      <c r="D195" s="398"/>
      <c r="E195" s="399">
        <v>30</v>
      </c>
      <c r="F195" s="399">
        <v>30</v>
      </c>
      <c r="G195" s="400">
        <v>10</v>
      </c>
      <c r="H195" s="399"/>
      <c r="I195" s="400"/>
      <c r="J195" s="917">
        <v>10</v>
      </c>
      <c r="K195" s="901"/>
    </row>
    <row r="196" spans="1:11" s="602" customFormat="1" ht="20.25" customHeight="1">
      <c r="A196" s="918" t="s">
        <v>921</v>
      </c>
      <c r="B196" s="401" t="s">
        <v>922</v>
      </c>
      <c r="C196" s="402" t="s">
        <v>923</v>
      </c>
      <c r="D196" s="402" t="s">
        <v>877</v>
      </c>
      <c r="E196" s="403">
        <v>3220</v>
      </c>
      <c r="F196" s="403">
        <v>3220</v>
      </c>
      <c r="G196" s="404">
        <v>10</v>
      </c>
      <c r="H196" s="403"/>
      <c r="I196" s="404"/>
      <c r="J196" s="919">
        <f>SUM(J197:J199)</f>
        <v>26</v>
      </c>
      <c r="K196" s="1107"/>
    </row>
    <row r="197" spans="1:11" s="602" customFormat="1" ht="20.25" customHeight="1">
      <c r="A197" s="916"/>
      <c r="B197" s="397" t="s">
        <v>1140</v>
      </c>
      <c r="C197" s="398"/>
      <c r="D197" s="398"/>
      <c r="E197" s="399">
        <v>3073</v>
      </c>
      <c r="F197" s="399">
        <v>3073</v>
      </c>
      <c r="G197" s="400">
        <v>0</v>
      </c>
      <c r="H197" s="399"/>
      <c r="I197" s="400"/>
      <c r="J197" s="917">
        <v>0</v>
      </c>
      <c r="K197" s="901"/>
    </row>
    <row r="198" spans="1:11" s="602" customFormat="1" ht="20.25" customHeight="1">
      <c r="A198" s="916"/>
      <c r="B198" s="397" t="s">
        <v>1141</v>
      </c>
      <c r="C198" s="398"/>
      <c r="D198" s="398"/>
      <c r="E198" s="399">
        <v>22</v>
      </c>
      <c r="F198" s="399">
        <v>22</v>
      </c>
      <c r="G198" s="400">
        <v>10</v>
      </c>
      <c r="H198" s="399"/>
      <c r="I198" s="400"/>
      <c r="J198" s="917">
        <v>10</v>
      </c>
      <c r="K198" s="901"/>
    </row>
    <row r="199" spans="1:11" s="602" customFormat="1" ht="20.25" customHeight="1">
      <c r="A199" s="916"/>
      <c r="B199" s="397" t="s">
        <v>1142</v>
      </c>
      <c r="C199" s="398"/>
      <c r="D199" s="398"/>
      <c r="E199" s="399">
        <v>124</v>
      </c>
      <c r="F199" s="399">
        <v>124</v>
      </c>
      <c r="G199" s="400">
        <v>0</v>
      </c>
      <c r="H199" s="399"/>
      <c r="I199" s="400"/>
      <c r="J199" s="917">
        <v>16</v>
      </c>
      <c r="K199" s="901"/>
    </row>
    <row r="200" spans="1:11" s="602" customFormat="1" ht="20.25" customHeight="1">
      <c r="A200" s="916"/>
      <c r="B200" s="397" t="s">
        <v>1147</v>
      </c>
      <c r="C200" s="398"/>
      <c r="D200" s="398"/>
      <c r="E200" s="399">
        <v>123</v>
      </c>
      <c r="F200" s="399">
        <v>123</v>
      </c>
      <c r="G200" s="400">
        <v>0</v>
      </c>
      <c r="H200" s="399"/>
      <c r="I200" s="400"/>
      <c r="J200" s="917">
        <v>16</v>
      </c>
      <c r="K200" s="901"/>
    </row>
    <row r="201" spans="1:11" s="602" customFormat="1" ht="20.25" customHeight="1" thickBot="1">
      <c r="A201" s="926"/>
      <c r="B201" s="927" t="s">
        <v>1149</v>
      </c>
      <c r="C201" s="928"/>
      <c r="D201" s="928"/>
      <c r="E201" s="929">
        <v>1</v>
      </c>
      <c r="F201" s="929">
        <v>1</v>
      </c>
      <c r="G201" s="930">
        <v>0</v>
      </c>
      <c r="H201" s="929"/>
      <c r="I201" s="930"/>
      <c r="J201" s="931">
        <v>0</v>
      </c>
      <c r="K201" s="901"/>
    </row>
    <row r="202" spans="1:10" s="603" customFormat="1" ht="20.25" customHeight="1">
      <c r="A202" s="941" t="s">
        <v>167</v>
      </c>
      <c r="B202" s="381"/>
      <c r="C202" s="382"/>
      <c r="D202" s="382"/>
      <c r="E202" s="383"/>
      <c r="F202" s="383"/>
      <c r="G202" s="383"/>
      <c r="H202" s="383"/>
      <c r="I202" s="383"/>
      <c r="J202" s="387"/>
    </row>
    <row r="203" spans="1:10" s="500" customFormat="1" ht="20.25" customHeight="1">
      <c r="A203" s="380"/>
      <c r="B203" s="381"/>
      <c r="C203" s="382"/>
      <c r="D203" s="382"/>
      <c r="E203" s="383"/>
      <c r="F203" s="383"/>
      <c r="G203" s="383"/>
      <c r="H203" s="383"/>
      <c r="I203" s="383"/>
      <c r="J203" s="383"/>
    </row>
    <row r="204" spans="1:10" s="500" customFormat="1" ht="20.25" customHeight="1">
      <c r="A204" s="477" t="s">
        <v>1003</v>
      </c>
      <c r="B204" s="384"/>
      <c r="C204" s="385"/>
      <c r="D204" s="385"/>
      <c r="E204" s="386"/>
      <c r="F204" s="386"/>
      <c r="G204" s="386"/>
      <c r="H204" s="386"/>
      <c r="I204" s="386"/>
      <c r="J204" s="387" t="s">
        <v>1004</v>
      </c>
    </row>
    <row r="205" spans="1:10" s="574" customFormat="1" ht="20.25" customHeight="1" thickBot="1">
      <c r="A205" s="380"/>
      <c r="B205" s="381"/>
      <c r="C205" s="382"/>
      <c r="D205" s="382"/>
      <c r="E205" s="383"/>
      <c r="F205" s="383"/>
      <c r="G205" s="384"/>
      <c r="H205" s="383"/>
      <c r="I205" s="387"/>
      <c r="J205" s="8" t="s">
        <v>258</v>
      </c>
    </row>
    <row r="206" spans="1:11" s="602" customFormat="1" ht="20.25" customHeight="1">
      <c r="A206" s="903" t="s">
        <v>833</v>
      </c>
      <c r="B206" s="904"/>
      <c r="C206" s="905" t="s">
        <v>267</v>
      </c>
      <c r="D206" s="905" t="s">
        <v>834</v>
      </c>
      <c r="E206" s="906" t="s">
        <v>835</v>
      </c>
      <c r="F206" s="906" t="s">
        <v>836</v>
      </c>
      <c r="G206" s="907" t="s">
        <v>837</v>
      </c>
      <c r="H206" s="908"/>
      <c r="I206" s="907"/>
      <c r="J206" s="909" t="s">
        <v>838</v>
      </c>
      <c r="K206" s="901"/>
    </row>
    <row r="207" spans="1:11" s="602" customFormat="1" ht="20.25" customHeight="1">
      <c r="A207" s="910" t="s">
        <v>839</v>
      </c>
      <c r="B207" s="608" t="s">
        <v>840</v>
      </c>
      <c r="C207" s="607" t="s">
        <v>841</v>
      </c>
      <c r="D207" s="607" t="s">
        <v>842</v>
      </c>
      <c r="E207" s="609" t="s">
        <v>843</v>
      </c>
      <c r="F207" s="609" t="s">
        <v>844</v>
      </c>
      <c r="G207" s="610" t="s">
        <v>845</v>
      </c>
      <c r="H207" s="611"/>
      <c r="I207" s="610"/>
      <c r="J207" s="911" t="s">
        <v>845</v>
      </c>
      <c r="K207" s="901"/>
    </row>
    <row r="208" spans="1:11" s="602" customFormat="1" ht="20.25" customHeight="1" thickBot="1">
      <c r="A208" s="1074"/>
      <c r="B208" s="1075"/>
      <c r="C208" s="1076"/>
      <c r="D208" s="1076"/>
      <c r="E208" s="1077" t="s">
        <v>846</v>
      </c>
      <c r="F208" s="1077">
        <v>2007</v>
      </c>
      <c r="G208" s="1078" t="s">
        <v>1005</v>
      </c>
      <c r="H208" s="1079"/>
      <c r="I208" s="1078"/>
      <c r="J208" s="1080" t="s">
        <v>1005</v>
      </c>
      <c r="K208" s="901"/>
    </row>
    <row r="209" spans="1:11" s="602" customFormat="1" ht="20.25" customHeight="1">
      <c r="A209" s="1081" t="s">
        <v>924</v>
      </c>
      <c r="B209" s="1082" t="s">
        <v>925</v>
      </c>
      <c r="C209" s="1083" t="s">
        <v>926</v>
      </c>
      <c r="D209" s="1083" t="s">
        <v>927</v>
      </c>
      <c r="E209" s="1084">
        <v>46576</v>
      </c>
      <c r="F209" s="1084">
        <v>1034</v>
      </c>
      <c r="G209" s="1085">
        <v>40</v>
      </c>
      <c r="H209" s="1101"/>
      <c r="I209" s="1085"/>
      <c r="J209" s="1087">
        <v>40</v>
      </c>
      <c r="K209" s="1107"/>
    </row>
    <row r="210" spans="1:11" s="602" customFormat="1" ht="20.25" customHeight="1">
      <c r="A210" s="916"/>
      <c r="B210" s="397" t="s">
        <v>1140</v>
      </c>
      <c r="C210" s="398"/>
      <c r="D210" s="398"/>
      <c r="E210" s="399">
        <v>44229</v>
      </c>
      <c r="F210" s="399">
        <v>76</v>
      </c>
      <c r="G210" s="400">
        <v>0</v>
      </c>
      <c r="H210" s="399"/>
      <c r="I210" s="400"/>
      <c r="J210" s="917">
        <v>0</v>
      </c>
      <c r="K210" s="901"/>
    </row>
    <row r="211" spans="1:11" s="602" customFormat="1" ht="20.25" customHeight="1">
      <c r="A211" s="916"/>
      <c r="B211" s="397" t="s">
        <v>1141</v>
      </c>
      <c r="C211" s="398"/>
      <c r="D211" s="398"/>
      <c r="E211" s="399">
        <v>1241</v>
      </c>
      <c r="F211" s="399">
        <v>875</v>
      </c>
      <c r="G211" s="400">
        <v>39</v>
      </c>
      <c r="H211" s="399"/>
      <c r="I211" s="400"/>
      <c r="J211" s="917">
        <v>39</v>
      </c>
      <c r="K211" s="901"/>
    </row>
    <row r="212" spans="1:11" s="602" customFormat="1" ht="20.25" customHeight="1">
      <c r="A212" s="916"/>
      <c r="B212" s="397" t="s">
        <v>1142</v>
      </c>
      <c r="C212" s="398"/>
      <c r="D212" s="398"/>
      <c r="E212" s="399">
        <v>1106</v>
      </c>
      <c r="F212" s="399">
        <v>158</v>
      </c>
      <c r="G212" s="400">
        <v>1</v>
      </c>
      <c r="H212" s="399"/>
      <c r="I212" s="400"/>
      <c r="J212" s="917">
        <v>1</v>
      </c>
      <c r="K212" s="901"/>
    </row>
    <row r="213" spans="1:11" s="602" customFormat="1" ht="20.25" customHeight="1">
      <c r="A213" s="916"/>
      <c r="B213" s="397" t="s">
        <v>1147</v>
      </c>
      <c r="C213" s="398"/>
      <c r="D213" s="398"/>
      <c r="E213" s="399">
        <v>896</v>
      </c>
      <c r="F213" s="399">
        <v>0</v>
      </c>
      <c r="G213" s="400">
        <v>0</v>
      </c>
      <c r="H213" s="399"/>
      <c r="I213" s="400"/>
      <c r="J213" s="917">
        <v>0</v>
      </c>
      <c r="K213" s="901"/>
    </row>
    <row r="214" spans="1:11" s="602" customFormat="1" ht="20.25" customHeight="1">
      <c r="A214" s="916"/>
      <c r="B214" s="397" t="s">
        <v>1145</v>
      </c>
      <c r="C214" s="398"/>
      <c r="D214" s="398"/>
      <c r="E214" s="399">
        <v>210</v>
      </c>
      <c r="F214" s="399">
        <v>158</v>
      </c>
      <c r="G214" s="400">
        <v>1</v>
      </c>
      <c r="H214" s="399"/>
      <c r="I214" s="400"/>
      <c r="J214" s="917">
        <v>1</v>
      </c>
      <c r="K214" s="901"/>
    </row>
    <row r="215" spans="1:11" s="602" customFormat="1" ht="20.25" customHeight="1">
      <c r="A215" s="918" t="s">
        <v>928</v>
      </c>
      <c r="B215" s="401" t="s">
        <v>929</v>
      </c>
      <c r="C215" s="402" t="s">
        <v>926</v>
      </c>
      <c r="D215" s="402" t="s">
        <v>930</v>
      </c>
      <c r="E215" s="403">
        <v>9581</v>
      </c>
      <c r="F215" s="403">
        <v>8891</v>
      </c>
      <c r="G215" s="404">
        <f>SUM(G216:G218)</f>
        <v>246</v>
      </c>
      <c r="H215" s="403"/>
      <c r="I215" s="404"/>
      <c r="J215" s="919">
        <f>SUM(J216:J218)</f>
        <v>166</v>
      </c>
      <c r="K215" s="1107"/>
    </row>
    <row r="216" spans="1:11" s="602" customFormat="1" ht="20.25" customHeight="1">
      <c r="A216" s="916"/>
      <c r="B216" s="397" t="s">
        <v>1140</v>
      </c>
      <c r="C216" s="398"/>
      <c r="D216" s="398"/>
      <c r="E216" s="399">
        <v>8625</v>
      </c>
      <c r="F216" s="399">
        <v>7989</v>
      </c>
      <c r="G216" s="400">
        <v>235</v>
      </c>
      <c r="H216" s="399"/>
      <c r="I216" s="400"/>
      <c r="J216" s="917">
        <v>155</v>
      </c>
      <c r="K216" s="901"/>
    </row>
    <row r="217" spans="1:11" s="602" customFormat="1" ht="20.25" customHeight="1">
      <c r="A217" s="916"/>
      <c r="B217" s="397" t="s">
        <v>1141</v>
      </c>
      <c r="C217" s="398"/>
      <c r="D217" s="398"/>
      <c r="E217" s="399">
        <v>561</v>
      </c>
      <c r="F217" s="399">
        <v>561</v>
      </c>
      <c r="G217" s="400">
        <v>0</v>
      </c>
      <c r="H217" s="399"/>
      <c r="I217" s="400"/>
      <c r="J217" s="917">
        <v>0</v>
      </c>
      <c r="K217" s="901"/>
    </row>
    <row r="218" spans="1:11" s="602" customFormat="1" ht="20.25" customHeight="1">
      <c r="A218" s="916"/>
      <c r="B218" s="397" t="s">
        <v>1142</v>
      </c>
      <c r="C218" s="398"/>
      <c r="D218" s="398"/>
      <c r="E218" s="399">
        <v>395</v>
      </c>
      <c r="F218" s="399">
        <v>349</v>
      </c>
      <c r="G218" s="400">
        <v>11</v>
      </c>
      <c r="H218" s="399"/>
      <c r="I218" s="400"/>
      <c r="J218" s="917">
        <v>11</v>
      </c>
      <c r="K218" s="901"/>
    </row>
    <row r="219" spans="1:11" s="602" customFormat="1" ht="20.25" customHeight="1">
      <c r="A219" s="916"/>
      <c r="B219" s="397" t="s">
        <v>1147</v>
      </c>
      <c r="C219" s="398"/>
      <c r="D219" s="398"/>
      <c r="E219" s="399">
        <v>356</v>
      </c>
      <c r="F219" s="399">
        <v>310</v>
      </c>
      <c r="G219" s="400">
        <v>11</v>
      </c>
      <c r="H219" s="399"/>
      <c r="I219" s="400"/>
      <c r="J219" s="917">
        <v>11</v>
      </c>
      <c r="K219" s="901"/>
    </row>
    <row r="220" spans="1:11" s="602" customFormat="1" ht="20.25" customHeight="1">
      <c r="A220" s="916"/>
      <c r="B220" s="397" t="s">
        <v>1145</v>
      </c>
      <c r="C220" s="398"/>
      <c r="D220" s="398"/>
      <c r="E220" s="399">
        <v>39</v>
      </c>
      <c r="F220" s="399">
        <v>39</v>
      </c>
      <c r="G220" s="400">
        <v>0</v>
      </c>
      <c r="H220" s="399"/>
      <c r="I220" s="400"/>
      <c r="J220" s="917">
        <v>0</v>
      </c>
      <c r="K220" s="901"/>
    </row>
    <row r="221" spans="1:11" s="602" customFormat="1" ht="20.25" customHeight="1">
      <c r="A221" s="918" t="s">
        <v>931</v>
      </c>
      <c r="B221" s="401" t="s">
        <v>932</v>
      </c>
      <c r="C221" s="402" t="s">
        <v>933</v>
      </c>
      <c r="D221" s="402" t="s">
        <v>864</v>
      </c>
      <c r="E221" s="403">
        <v>195</v>
      </c>
      <c r="F221" s="403">
        <v>195</v>
      </c>
      <c r="G221" s="404">
        <v>0</v>
      </c>
      <c r="H221" s="403"/>
      <c r="I221" s="404"/>
      <c r="J221" s="919">
        <v>24</v>
      </c>
      <c r="K221" s="1107"/>
    </row>
    <row r="222" spans="1:11" s="602" customFormat="1" ht="20.25" customHeight="1">
      <c r="A222" s="916"/>
      <c r="B222" s="397" t="s">
        <v>1140</v>
      </c>
      <c r="C222" s="398"/>
      <c r="D222" s="398"/>
      <c r="E222" s="399">
        <v>171</v>
      </c>
      <c r="F222" s="399">
        <v>171</v>
      </c>
      <c r="G222" s="400">
        <v>0</v>
      </c>
      <c r="H222" s="399"/>
      <c r="I222" s="400"/>
      <c r="J222" s="917">
        <v>0</v>
      </c>
      <c r="K222" s="901"/>
    </row>
    <row r="223" spans="1:11" s="602" customFormat="1" ht="20.25" customHeight="1">
      <c r="A223" s="916"/>
      <c r="B223" s="397" t="s">
        <v>1141</v>
      </c>
      <c r="C223" s="398"/>
      <c r="D223" s="398"/>
      <c r="E223" s="399">
        <v>0</v>
      </c>
      <c r="F223" s="399">
        <v>0</v>
      </c>
      <c r="G223" s="400">
        <v>0</v>
      </c>
      <c r="H223" s="399"/>
      <c r="I223" s="400"/>
      <c r="J223" s="917">
        <v>0</v>
      </c>
      <c r="K223" s="901"/>
    </row>
    <row r="224" spans="1:11" s="602" customFormat="1" ht="20.25" customHeight="1">
      <c r="A224" s="916"/>
      <c r="B224" s="397" t="s">
        <v>1142</v>
      </c>
      <c r="C224" s="398"/>
      <c r="D224" s="398"/>
      <c r="E224" s="399">
        <v>24</v>
      </c>
      <c r="F224" s="399">
        <v>24</v>
      </c>
      <c r="G224" s="400">
        <v>0</v>
      </c>
      <c r="H224" s="399"/>
      <c r="I224" s="400"/>
      <c r="J224" s="917">
        <v>24</v>
      </c>
      <c r="K224" s="901"/>
    </row>
    <row r="225" spans="1:11" s="602" customFormat="1" ht="20.25" customHeight="1">
      <c r="A225" s="916"/>
      <c r="B225" s="397" t="s">
        <v>1147</v>
      </c>
      <c r="C225" s="398"/>
      <c r="D225" s="398"/>
      <c r="E225" s="399">
        <v>24</v>
      </c>
      <c r="F225" s="399">
        <v>24</v>
      </c>
      <c r="G225" s="400">
        <v>0</v>
      </c>
      <c r="H225" s="399"/>
      <c r="I225" s="400"/>
      <c r="J225" s="917">
        <v>24</v>
      </c>
      <c r="K225" s="901"/>
    </row>
    <row r="226" spans="1:11" s="606" customFormat="1" ht="20.25" customHeight="1">
      <c r="A226" s="935"/>
      <c r="B226" s="420" t="s">
        <v>1145</v>
      </c>
      <c r="C226" s="421"/>
      <c r="D226" s="421"/>
      <c r="E226" s="422">
        <v>0</v>
      </c>
      <c r="F226" s="422">
        <v>0</v>
      </c>
      <c r="G226" s="423">
        <v>0</v>
      </c>
      <c r="H226" s="422"/>
      <c r="I226" s="423"/>
      <c r="J226" s="936">
        <v>0</v>
      </c>
      <c r="K226" s="934"/>
    </row>
    <row r="227" spans="1:11" s="602" customFormat="1" ht="20.25" customHeight="1">
      <c r="A227" s="920" t="s">
        <v>522</v>
      </c>
      <c r="B227" s="405" t="s">
        <v>934</v>
      </c>
      <c r="C227" s="390"/>
      <c r="D227" s="390"/>
      <c r="E227" s="391">
        <f>E228+E234</f>
        <v>48404</v>
      </c>
      <c r="F227" s="391">
        <f>F228+F234</f>
        <v>41955</v>
      </c>
      <c r="G227" s="392">
        <f>G228+G234</f>
        <v>333</v>
      </c>
      <c r="H227" s="391"/>
      <c r="I227" s="392"/>
      <c r="J227" s="913">
        <f>J228+J234</f>
        <v>333</v>
      </c>
      <c r="K227" s="901"/>
    </row>
    <row r="228" spans="1:11" s="602" customFormat="1" ht="20.25" customHeight="1">
      <c r="A228" s="918" t="s">
        <v>935</v>
      </c>
      <c r="B228" s="401" t="s">
        <v>936</v>
      </c>
      <c r="C228" s="402" t="s">
        <v>937</v>
      </c>
      <c r="D228" s="402" t="s">
        <v>860</v>
      </c>
      <c r="E228" s="403">
        <v>47186</v>
      </c>
      <c r="F228" s="403">
        <v>40737</v>
      </c>
      <c r="G228" s="404">
        <v>36</v>
      </c>
      <c r="H228" s="403"/>
      <c r="I228" s="404"/>
      <c r="J228" s="919">
        <v>36</v>
      </c>
      <c r="K228" s="1107"/>
    </row>
    <row r="229" spans="1:11" s="602" customFormat="1" ht="20.25" customHeight="1">
      <c r="A229" s="916"/>
      <c r="B229" s="397" t="s">
        <v>1140</v>
      </c>
      <c r="C229" s="398"/>
      <c r="D229" s="398"/>
      <c r="E229" s="399">
        <v>45715</v>
      </c>
      <c r="F229" s="399">
        <v>39353</v>
      </c>
      <c r="G229" s="400">
        <v>0</v>
      </c>
      <c r="H229" s="399"/>
      <c r="I229" s="400"/>
      <c r="J229" s="917">
        <v>0</v>
      </c>
      <c r="K229" s="901"/>
    </row>
    <row r="230" spans="1:11" s="602" customFormat="1" ht="20.25" customHeight="1">
      <c r="A230" s="916"/>
      <c r="B230" s="397" t="s">
        <v>1136</v>
      </c>
      <c r="C230" s="398"/>
      <c r="D230" s="398"/>
      <c r="E230" s="399">
        <v>361</v>
      </c>
      <c r="F230" s="399">
        <v>310</v>
      </c>
      <c r="G230" s="400">
        <v>35</v>
      </c>
      <c r="H230" s="399"/>
      <c r="I230" s="400"/>
      <c r="J230" s="917">
        <v>35</v>
      </c>
      <c r="K230" s="901"/>
    </row>
    <row r="231" spans="1:11" s="602" customFormat="1" ht="20.25" customHeight="1">
      <c r="A231" s="916"/>
      <c r="B231" s="397" t="s">
        <v>1137</v>
      </c>
      <c r="C231" s="398"/>
      <c r="D231" s="398"/>
      <c r="E231" s="399">
        <v>1110</v>
      </c>
      <c r="F231" s="399">
        <v>1074</v>
      </c>
      <c r="G231" s="400">
        <v>1</v>
      </c>
      <c r="H231" s="399"/>
      <c r="I231" s="400"/>
      <c r="J231" s="917">
        <v>1</v>
      </c>
      <c r="K231" s="901"/>
    </row>
    <row r="232" spans="1:11" s="602" customFormat="1" ht="20.25" customHeight="1">
      <c r="A232" s="916"/>
      <c r="B232" s="397" t="s">
        <v>1138</v>
      </c>
      <c r="C232" s="398"/>
      <c r="D232" s="398"/>
      <c r="E232" s="399">
        <v>1076</v>
      </c>
      <c r="F232" s="399">
        <v>1040</v>
      </c>
      <c r="G232" s="400">
        <v>0</v>
      </c>
      <c r="H232" s="399"/>
      <c r="I232" s="400"/>
      <c r="J232" s="917">
        <v>0</v>
      </c>
      <c r="K232" s="901"/>
    </row>
    <row r="233" spans="1:11" s="602" customFormat="1" ht="20.25" customHeight="1">
      <c r="A233" s="916"/>
      <c r="B233" s="397" t="s">
        <v>1139</v>
      </c>
      <c r="C233" s="398"/>
      <c r="D233" s="398"/>
      <c r="E233" s="399">
        <v>34</v>
      </c>
      <c r="F233" s="399">
        <v>34</v>
      </c>
      <c r="G233" s="400">
        <v>1</v>
      </c>
      <c r="H233" s="399"/>
      <c r="I233" s="400"/>
      <c r="J233" s="917">
        <v>1</v>
      </c>
      <c r="K233" s="901"/>
    </row>
    <row r="234" spans="1:11" s="605" customFormat="1" ht="20.25" customHeight="1">
      <c r="A234" s="918" t="s">
        <v>938</v>
      </c>
      <c r="B234" s="424" t="s">
        <v>939</v>
      </c>
      <c r="C234" s="402" t="s">
        <v>940</v>
      </c>
      <c r="D234" s="402" t="s">
        <v>849</v>
      </c>
      <c r="E234" s="403">
        <v>1218</v>
      </c>
      <c r="F234" s="403">
        <v>1218</v>
      </c>
      <c r="G234" s="404">
        <v>297</v>
      </c>
      <c r="H234" s="403"/>
      <c r="I234" s="404"/>
      <c r="J234" s="919">
        <v>297</v>
      </c>
      <c r="K234" s="1108"/>
    </row>
    <row r="235" spans="1:11" s="602" customFormat="1" ht="20.25" customHeight="1">
      <c r="A235" s="916"/>
      <c r="B235" s="397" t="s">
        <v>1140</v>
      </c>
      <c r="C235" s="398"/>
      <c r="D235" s="398"/>
      <c r="E235" s="399">
        <v>1174</v>
      </c>
      <c r="F235" s="399">
        <v>1174</v>
      </c>
      <c r="G235" s="400">
        <v>288</v>
      </c>
      <c r="H235" s="399"/>
      <c r="I235" s="400"/>
      <c r="J235" s="917">
        <v>288</v>
      </c>
      <c r="K235" s="901"/>
    </row>
    <row r="236" spans="1:11" s="602" customFormat="1" ht="20.25" customHeight="1">
      <c r="A236" s="916"/>
      <c r="B236" s="397" t="s">
        <v>1141</v>
      </c>
      <c r="C236" s="398"/>
      <c r="D236" s="398"/>
      <c r="E236" s="399">
        <v>0</v>
      </c>
      <c r="F236" s="399">
        <v>0</v>
      </c>
      <c r="G236" s="400">
        <v>0</v>
      </c>
      <c r="H236" s="399"/>
      <c r="I236" s="400"/>
      <c r="J236" s="917">
        <v>0</v>
      </c>
      <c r="K236" s="901"/>
    </row>
    <row r="237" spans="1:11" s="602" customFormat="1" ht="20.25" customHeight="1">
      <c r="A237" s="916"/>
      <c r="B237" s="397" t="s">
        <v>1142</v>
      </c>
      <c r="C237" s="398"/>
      <c r="D237" s="398"/>
      <c r="E237" s="399">
        <v>44</v>
      </c>
      <c r="F237" s="399">
        <v>44</v>
      </c>
      <c r="G237" s="400">
        <v>9</v>
      </c>
      <c r="H237" s="399"/>
      <c r="I237" s="400"/>
      <c r="J237" s="917">
        <v>9</v>
      </c>
      <c r="K237" s="901"/>
    </row>
    <row r="238" spans="1:11" s="602" customFormat="1" ht="20.25" customHeight="1">
      <c r="A238" s="916"/>
      <c r="B238" s="397" t="s">
        <v>1147</v>
      </c>
      <c r="C238" s="398"/>
      <c r="D238" s="398"/>
      <c r="E238" s="399">
        <v>44</v>
      </c>
      <c r="F238" s="399">
        <v>44</v>
      </c>
      <c r="G238" s="400">
        <v>9</v>
      </c>
      <c r="H238" s="399"/>
      <c r="I238" s="400"/>
      <c r="J238" s="917">
        <v>9</v>
      </c>
      <c r="K238" s="901"/>
    </row>
    <row r="239" spans="1:11" s="602" customFormat="1" ht="20.25" customHeight="1">
      <c r="A239" s="916"/>
      <c r="B239" s="397" t="s">
        <v>1145</v>
      </c>
      <c r="C239" s="398"/>
      <c r="D239" s="398"/>
      <c r="E239" s="399">
        <v>0</v>
      </c>
      <c r="F239" s="399">
        <v>0</v>
      </c>
      <c r="G239" s="400">
        <v>0</v>
      </c>
      <c r="H239" s="399"/>
      <c r="I239" s="400"/>
      <c r="J239" s="917">
        <v>0</v>
      </c>
      <c r="K239" s="901"/>
    </row>
    <row r="240" spans="1:11" s="602" customFormat="1" ht="20.25" customHeight="1">
      <c r="A240" s="920" t="s">
        <v>524</v>
      </c>
      <c r="B240" s="405" t="s">
        <v>1132</v>
      </c>
      <c r="C240" s="390" t="s">
        <v>871</v>
      </c>
      <c r="D240" s="390" t="s">
        <v>941</v>
      </c>
      <c r="E240" s="391">
        <v>285993</v>
      </c>
      <c r="F240" s="391">
        <f>SUM(F241:F243)</f>
        <v>72847</v>
      </c>
      <c r="G240" s="392">
        <f>SUM(G241:G243)</f>
        <v>68229</v>
      </c>
      <c r="H240" s="391"/>
      <c r="I240" s="392"/>
      <c r="J240" s="913">
        <f>SUM(J241:J243)</f>
        <v>1723</v>
      </c>
      <c r="K240" s="901"/>
    </row>
    <row r="241" spans="1:11" s="602" customFormat="1" ht="20.25" customHeight="1">
      <c r="A241" s="918" t="s">
        <v>942</v>
      </c>
      <c r="B241" s="397" t="s">
        <v>1140</v>
      </c>
      <c r="C241" s="398"/>
      <c r="D241" s="398"/>
      <c r="E241" s="399">
        <v>275183</v>
      </c>
      <c r="F241" s="399">
        <v>68150</v>
      </c>
      <c r="G241" s="400">
        <v>63808</v>
      </c>
      <c r="H241" s="399"/>
      <c r="I241" s="400"/>
      <c r="J241" s="917">
        <v>193</v>
      </c>
      <c r="K241" s="901"/>
    </row>
    <row r="242" spans="1:11" s="602" customFormat="1" ht="20.25" customHeight="1">
      <c r="A242" s="916"/>
      <c r="B242" s="397" t="s">
        <v>1136</v>
      </c>
      <c r="C242" s="398"/>
      <c r="D242" s="398"/>
      <c r="E242" s="399">
        <v>5340</v>
      </c>
      <c r="F242" s="399">
        <v>3144</v>
      </c>
      <c r="G242" s="400">
        <v>2891</v>
      </c>
      <c r="H242" s="399"/>
      <c r="I242" s="400"/>
      <c r="J242" s="917">
        <v>0</v>
      </c>
      <c r="K242" s="901"/>
    </row>
    <row r="243" spans="1:11" s="602" customFormat="1" ht="20.25" customHeight="1">
      <c r="A243" s="916"/>
      <c r="B243" s="397" t="s">
        <v>1137</v>
      </c>
      <c r="C243" s="398"/>
      <c r="D243" s="398"/>
      <c r="E243" s="399">
        <v>5470</v>
      </c>
      <c r="F243" s="399">
        <v>1553</v>
      </c>
      <c r="G243" s="400">
        <f>SUM(G244:G245)</f>
        <v>1530</v>
      </c>
      <c r="H243" s="399"/>
      <c r="I243" s="400"/>
      <c r="J243" s="917">
        <f>SUM(J244:J245)</f>
        <v>1530</v>
      </c>
      <c r="K243" s="901"/>
    </row>
    <row r="244" spans="1:11" s="602" customFormat="1" ht="20.25" customHeight="1">
      <c r="A244" s="916"/>
      <c r="B244" s="397" t="s">
        <v>1138</v>
      </c>
      <c r="C244" s="398"/>
      <c r="D244" s="398"/>
      <c r="E244" s="399">
        <v>4989</v>
      </c>
      <c r="F244" s="399">
        <v>1264</v>
      </c>
      <c r="G244" s="400">
        <v>1251</v>
      </c>
      <c r="H244" s="399"/>
      <c r="I244" s="400"/>
      <c r="J244" s="917">
        <v>1251</v>
      </c>
      <c r="K244" s="901"/>
    </row>
    <row r="245" spans="1:11" s="602" customFormat="1" ht="20.25" customHeight="1">
      <c r="A245" s="916"/>
      <c r="B245" s="397" t="s">
        <v>1139</v>
      </c>
      <c r="C245" s="398"/>
      <c r="D245" s="398"/>
      <c r="E245" s="399">
        <v>481</v>
      </c>
      <c r="F245" s="399">
        <v>289</v>
      </c>
      <c r="G245" s="400">
        <v>279</v>
      </c>
      <c r="H245" s="399"/>
      <c r="I245" s="400"/>
      <c r="J245" s="917">
        <v>279</v>
      </c>
      <c r="K245" s="901"/>
    </row>
    <row r="246" spans="1:11" s="602" customFormat="1" ht="20.25" customHeight="1">
      <c r="A246" s="932" t="s">
        <v>526</v>
      </c>
      <c r="B246" s="419" t="s">
        <v>943</v>
      </c>
      <c r="C246" s="389"/>
      <c r="D246" s="389"/>
      <c r="E246" s="425">
        <f>E260+E247+E266</f>
        <v>32202</v>
      </c>
      <c r="F246" s="425">
        <f>F260+F247+F266</f>
        <v>31952</v>
      </c>
      <c r="G246" s="426">
        <f>G260+G247+G266</f>
        <v>281</v>
      </c>
      <c r="H246" s="478"/>
      <c r="I246" s="388"/>
      <c r="J246" s="933">
        <f>J260+J247+J266</f>
        <v>5330</v>
      </c>
      <c r="K246" s="901"/>
    </row>
    <row r="247" spans="1:11" s="602" customFormat="1" ht="20.25" customHeight="1">
      <c r="A247" s="918" t="s">
        <v>944</v>
      </c>
      <c r="B247" s="401" t="s">
        <v>945</v>
      </c>
      <c r="C247" s="402" t="s">
        <v>946</v>
      </c>
      <c r="D247" s="402" t="s">
        <v>854</v>
      </c>
      <c r="E247" s="403">
        <v>27840</v>
      </c>
      <c r="F247" s="403">
        <v>27840</v>
      </c>
      <c r="G247" s="404">
        <v>31</v>
      </c>
      <c r="H247" s="403"/>
      <c r="I247" s="404"/>
      <c r="J247" s="919">
        <v>3271</v>
      </c>
      <c r="K247" s="1107"/>
    </row>
    <row r="248" spans="1:11" s="602" customFormat="1" ht="20.25" customHeight="1">
      <c r="A248" s="916"/>
      <c r="B248" s="397" t="s">
        <v>1140</v>
      </c>
      <c r="C248" s="398"/>
      <c r="D248" s="398"/>
      <c r="E248" s="399">
        <v>26452</v>
      </c>
      <c r="F248" s="399">
        <v>26452</v>
      </c>
      <c r="G248" s="400">
        <v>0</v>
      </c>
      <c r="H248" s="399"/>
      <c r="I248" s="400"/>
      <c r="J248" s="917">
        <v>3045</v>
      </c>
      <c r="K248" s="901"/>
    </row>
    <row r="249" spans="1:11" s="602" customFormat="1" ht="20.25" customHeight="1">
      <c r="A249" s="916"/>
      <c r="B249" s="397" t="s">
        <v>1136</v>
      </c>
      <c r="C249" s="398"/>
      <c r="D249" s="398"/>
      <c r="E249" s="399">
        <v>448</v>
      </c>
      <c r="F249" s="399">
        <v>448</v>
      </c>
      <c r="G249" s="400">
        <v>0</v>
      </c>
      <c r="H249" s="399"/>
      <c r="I249" s="400"/>
      <c r="J249" s="917">
        <v>133</v>
      </c>
      <c r="K249" s="901"/>
    </row>
    <row r="250" spans="1:11" s="602" customFormat="1" ht="20.25" customHeight="1">
      <c r="A250" s="916"/>
      <c r="B250" s="397" t="s">
        <v>1137</v>
      </c>
      <c r="C250" s="398"/>
      <c r="D250" s="398"/>
      <c r="E250" s="399">
        <v>940</v>
      </c>
      <c r="F250" s="399">
        <v>940</v>
      </c>
      <c r="G250" s="400">
        <v>31</v>
      </c>
      <c r="H250" s="399"/>
      <c r="I250" s="400"/>
      <c r="J250" s="917">
        <v>93</v>
      </c>
      <c r="K250" s="901"/>
    </row>
    <row r="251" spans="1:11" s="602" customFormat="1" ht="20.25" customHeight="1">
      <c r="A251" s="916"/>
      <c r="B251" s="397" t="s">
        <v>1138</v>
      </c>
      <c r="C251" s="398"/>
      <c r="D251" s="398"/>
      <c r="E251" s="399">
        <v>873</v>
      </c>
      <c r="F251" s="399">
        <v>873</v>
      </c>
      <c r="G251" s="400">
        <v>31</v>
      </c>
      <c r="H251" s="399"/>
      <c r="I251" s="400"/>
      <c r="J251" s="917">
        <v>93</v>
      </c>
      <c r="K251" s="901"/>
    </row>
    <row r="252" spans="1:11" s="602" customFormat="1" ht="20.25" customHeight="1" thickBot="1">
      <c r="A252" s="926"/>
      <c r="B252" s="927" t="s">
        <v>1139</v>
      </c>
      <c r="C252" s="928"/>
      <c r="D252" s="928"/>
      <c r="E252" s="929">
        <v>67</v>
      </c>
      <c r="F252" s="929">
        <v>67</v>
      </c>
      <c r="G252" s="930">
        <v>0</v>
      </c>
      <c r="H252" s="929"/>
      <c r="I252" s="930"/>
      <c r="J252" s="931">
        <v>0</v>
      </c>
      <c r="K252" s="901"/>
    </row>
    <row r="253" spans="1:10" s="603" customFormat="1" ht="20.25" customHeight="1">
      <c r="A253" s="941" t="s">
        <v>167</v>
      </c>
      <c r="B253" s="381"/>
      <c r="C253" s="382"/>
      <c r="D253" s="382"/>
      <c r="E253" s="383"/>
      <c r="F253" s="383"/>
      <c r="G253" s="383"/>
      <c r="H253" s="383"/>
      <c r="I253" s="383"/>
      <c r="J253" s="387"/>
    </row>
    <row r="254" spans="1:10" s="500" customFormat="1" ht="20.25" customHeight="1">
      <c r="A254" s="380"/>
      <c r="B254" s="381"/>
      <c r="C254" s="382"/>
      <c r="D254" s="382"/>
      <c r="E254" s="383"/>
      <c r="F254" s="383"/>
      <c r="G254" s="383"/>
      <c r="H254" s="383"/>
      <c r="I254" s="383"/>
      <c r="J254" s="383"/>
    </row>
    <row r="255" spans="1:10" s="500" customFormat="1" ht="20.25" customHeight="1">
      <c r="A255" s="477" t="s">
        <v>1003</v>
      </c>
      <c r="B255" s="384"/>
      <c r="C255" s="385"/>
      <c r="D255" s="385"/>
      <c r="E255" s="386"/>
      <c r="F255" s="386"/>
      <c r="G255" s="386"/>
      <c r="H255" s="386"/>
      <c r="I255" s="386"/>
      <c r="J255" s="387" t="s">
        <v>1004</v>
      </c>
    </row>
    <row r="256" spans="1:10" s="574" customFormat="1" ht="20.25" customHeight="1" thickBot="1">
      <c r="A256" s="380"/>
      <c r="B256" s="381"/>
      <c r="C256" s="382"/>
      <c r="D256" s="382"/>
      <c r="E256" s="383"/>
      <c r="F256" s="383"/>
      <c r="G256" s="384"/>
      <c r="H256" s="383"/>
      <c r="I256" s="387"/>
      <c r="J256" s="8" t="s">
        <v>259</v>
      </c>
    </row>
    <row r="257" spans="1:11" s="602" customFormat="1" ht="20.25" customHeight="1">
      <c r="A257" s="903" t="s">
        <v>833</v>
      </c>
      <c r="B257" s="904"/>
      <c r="C257" s="905" t="s">
        <v>267</v>
      </c>
      <c r="D257" s="905" t="s">
        <v>834</v>
      </c>
      <c r="E257" s="906" t="s">
        <v>835</v>
      </c>
      <c r="F257" s="906" t="s">
        <v>836</v>
      </c>
      <c r="G257" s="907" t="s">
        <v>837</v>
      </c>
      <c r="H257" s="908"/>
      <c r="I257" s="907"/>
      <c r="J257" s="909" t="s">
        <v>838</v>
      </c>
      <c r="K257" s="901"/>
    </row>
    <row r="258" spans="1:11" s="602" customFormat="1" ht="20.25" customHeight="1">
      <c r="A258" s="910" t="s">
        <v>839</v>
      </c>
      <c r="B258" s="608" t="s">
        <v>840</v>
      </c>
      <c r="C258" s="607" t="s">
        <v>841</v>
      </c>
      <c r="D258" s="607" t="s">
        <v>842</v>
      </c>
      <c r="E258" s="609" t="s">
        <v>843</v>
      </c>
      <c r="F258" s="609" t="s">
        <v>844</v>
      </c>
      <c r="G258" s="610" t="s">
        <v>845</v>
      </c>
      <c r="H258" s="611"/>
      <c r="I258" s="610"/>
      <c r="J258" s="911" t="s">
        <v>845</v>
      </c>
      <c r="K258" s="901"/>
    </row>
    <row r="259" spans="1:11" s="602" customFormat="1" ht="20.25" customHeight="1" thickBot="1">
      <c r="A259" s="1074"/>
      <c r="B259" s="1075"/>
      <c r="C259" s="1076"/>
      <c r="D259" s="1076"/>
      <c r="E259" s="1077" t="s">
        <v>846</v>
      </c>
      <c r="F259" s="1077">
        <v>2007</v>
      </c>
      <c r="G259" s="1078" t="s">
        <v>1005</v>
      </c>
      <c r="H259" s="1079"/>
      <c r="I259" s="1078"/>
      <c r="J259" s="1080" t="s">
        <v>1005</v>
      </c>
      <c r="K259" s="901"/>
    </row>
    <row r="260" spans="1:11" s="602" customFormat="1" ht="20.25" customHeight="1">
      <c r="A260" s="1095" t="s">
        <v>947</v>
      </c>
      <c r="B260" s="1096" t="s">
        <v>948</v>
      </c>
      <c r="C260" s="1097" t="s">
        <v>946</v>
      </c>
      <c r="D260" s="1097" t="s">
        <v>864</v>
      </c>
      <c r="E260" s="1098">
        <v>1785</v>
      </c>
      <c r="F260" s="1098">
        <v>1785</v>
      </c>
      <c r="G260" s="1099">
        <v>0</v>
      </c>
      <c r="H260" s="1098"/>
      <c r="I260" s="1099"/>
      <c r="J260" s="1100">
        <v>16</v>
      </c>
      <c r="K260" s="1107"/>
    </row>
    <row r="261" spans="1:11" s="602" customFormat="1" ht="20.25" customHeight="1">
      <c r="A261" s="916"/>
      <c r="B261" s="397" t="s">
        <v>1140</v>
      </c>
      <c r="C261" s="398"/>
      <c r="D261" s="398"/>
      <c r="E261" s="399">
        <v>1600</v>
      </c>
      <c r="F261" s="399">
        <v>1600</v>
      </c>
      <c r="G261" s="400">
        <v>0</v>
      </c>
      <c r="H261" s="399"/>
      <c r="I261" s="400"/>
      <c r="J261" s="917">
        <v>0</v>
      </c>
      <c r="K261" s="901"/>
    </row>
    <row r="262" spans="1:11" s="602" customFormat="1" ht="20.25" customHeight="1">
      <c r="A262" s="916"/>
      <c r="B262" s="397" t="s">
        <v>1141</v>
      </c>
      <c r="C262" s="398"/>
      <c r="D262" s="398"/>
      <c r="E262" s="399">
        <v>99</v>
      </c>
      <c r="F262" s="399">
        <v>99</v>
      </c>
      <c r="G262" s="400">
        <v>0</v>
      </c>
      <c r="H262" s="399"/>
      <c r="I262" s="400"/>
      <c r="J262" s="917">
        <v>0</v>
      </c>
      <c r="K262" s="901"/>
    </row>
    <row r="263" spans="1:11" s="602" customFormat="1" ht="20.25" customHeight="1">
      <c r="A263" s="916"/>
      <c r="B263" s="397" t="s">
        <v>1142</v>
      </c>
      <c r="C263" s="398"/>
      <c r="D263" s="398"/>
      <c r="E263" s="399">
        <v>86</v>
      </c>
      <c r="F263" s="399">
        <v>86</v>
      </c>
      <c r="G263" s="400">
        <v>0</v>
      </c>
      <c r="H263" s="399"/>
      <c r="I263" s="400"/>
      <c r="J263" s="917">
        <v>16</v>
      </c>
      <c r="K263" s="901"/>
    </row>
    <row r="264" spans="1:11" s="602" customFormat="1" ht="20.25" customHeight="1">
      <c r="A264" s="916"/>
      <c r="B264" s="397" t="s">
        <v>1150</v>
      </c>
      <c r="C264" s="398"/>
      <c r="D264" s="398"/>
      <c r="E264" s="399">
        <v>80</v>
      </c>
      <c r="F264" s="399">
        <v>80</v>
      </c>
      <c r="G264" s="400">
        <v>0</v>
      </c>
      <c r="H264" s="399"/>
      <c r="I264" s="400"/>
      <c r="J264" s="917">
        <v>16</v>
      </c>
      <c r="K264" s="901"/>
    </row>
    <row r="265" spans="1:11" s="602" customFormat="1" ht="20.25" customHeight="1">
      <c r="A265" s="916"/>
      <c r="B265" s="397" t="s">
        <v>1139</v>
      </c>
      <c r="C265" s="398"/>
      <c r="D265" s="398"/>
      <c r="E265" s="399">
        <v>6</v>
      </c>
      <c r="F265" s="399">
        <v>6</v>
      </c>
      <c r="G265" s="400">
        <v>0</v>
      </c>
      <c r="H265" s="399"/>
      <c r="I265" s="400"/>
      <c r="J265" s="917">
        <v>0</v>
      </c>
      <c r="K265" s="901"/>
    </row>
    <row r="266" spans="1:11" s="602" customFormat="1" ht="20.25" customHeight="1">
      <c r="A266" s="918" t="s">
        <v>949</v>
      </c>
      <c r="B266" s="401" t="s">
        <v>950</v>
      </c>
      <c r="C266" s="402" t="s">
        <v>951</v>
      </c>
      <c r="D266" s="402" t="s">
        <v>849</v>
      </c>
      <c r="E266" s="403">
        <v>2577</v>
      </c>
      <c r="F266" s="403">
        <v>2327</v>
      </c>
      <c r="G266" s="404">
        <v>250</v>
      </c>
      <c r="H266" s="403"/>
      <c r="I266" s="404"/>
      <c r="J266" s="919">
        <v>2043</v>
      </c>
      <c r="K266" s="1107"/>
    </row>
    <row r="267" spans="1:11" s="602" customFormat="1" ht="20.25" customHeight="1">
      <c r="A267" s="916"/>
      <c r="B267" s="397" t="s">
        <v>1140</v>
      </c>
      <c r="C267" s="398"/>
      <c r="D267" s="398"/>
      <c r="E267" s="399">
        <v>2453</v>
      </c>
      <c r="F267" s="399">
        <v>2278</v>
      </c>
      <c r="G267" s="400">
        <v>175</v>
      </c>
      <c r="H267" s="399"/>
      <c r="I267" s="400"/>
      <c r="J267" s="917">
        <v>1946</v>
      </c>
      <c r="K267" s="901"/>
    </row>
    <row r="268" spans="1:11" s="602" customFormat="1" ht="20.25" customHeight="1">
      <c r="A268" s="916"/>
      <c r="B268" s="397" t="s">
        <v>1136</v>
      </c>
      <c r="C268" s="398"/>
      <c r="D268" s="398"/>
      <c r="E268" s="399">
        <v>51</v>
      </c>
      <c r="F268" s="399">
        <v>0</v>
      </c>
      <c r="G268" s="400">
        <v>51</v>
      </c>
      <c r="H268" s="399"/>
      <c r="I268" s="400"/>
      <c r="J268" s="917">
        <v>51</v>
      </c>
      <c r="K268" s="901"/>
    </row>
    <row r="269" spans="1:11" s="602" customFormat="1" ht="20.25" customHeight="1">
      <c r="A269" s="916"/>
      <c r="B269" s="397" t="s">
        <v>1137</v>
      </c>
      <c r="C269" s="398"/>
      <c r="D269" s="398"/>
      <c r="E269" s="399">
        <v>73</v>
      </c>
      <c r="F269" s="399">
        <v>49</v>
      </c>
      <c r="G269" s="400">
        <v>24</v>
      </c>
      <c r="H269" s="399"/>
      <c r="I269" s="400"/>
      <c r="J269" s="917">
        <v>46</v>
      </c>
      <c r="K269" s="901"/>
    </row>
    <row r="270" spans="1:11" s="602" customFormat="1" ht="20.25" customHeight="1">
      <c r="A270" s="916"/>
      <c r="B270" s="397" t="s">
        <v>1150</v>
      </c>
      <c r="C270" s="398"/>
      <c r="D270" s="398"/>
      <c r="E270" s="399">
        <v>71</v>
      </c>
      <c r="F270" s="399">
        <v>49</v>
      </c>
      <c r="G270" s="400">
        <v>22</v>
      </c>
      <c r="H270" s="399"/>
      <c r="I270" s="400"/>
      <c r="J270" s="917">
        <v>44</v>
      </c>
      <c r="K270" s="901"/>
    </row>
    <row r="271" spans="1:11" s="602" customFormat="1" ht="20.25" customHeight="1">
      <c r="A271" s="916"/>
      <c r="B271" s="397" t="s">
        <v>1139</v>
      </c>
      <c r="C271" s="398"/>
      <c r="D271" s="398"/>
      <c r="E271" s="399">
        <v>2</v>
      </c>
      <c r="F271" s="399">
        <v>0</v>
      </c>
      <c r="G271" s="400">
        <v>2</v>
      </c>
      <c r="H271" s="399"/>
      <c r="I271" s="400"/>
      <c r="J271" s="917">
        <v>2</v>
      </c>
      <c r="K271" s="901"/>
    </row>
    <row r="272" spans="1:11" s="602" customFormat="1" ht="20.25" customHeight="1">
      <c r="A272" s="920" t="s">
        <v>1127</v>
      </c>
      <c r="B272" s="405" t="s">
        <v>952</v>
      </c>
      <c r="C272" s="390"/>
      <c r="D272" s="390"/>
      <c r="E272" s="391">
        <f>E297+E273+E279+E285+E291+E310</f>
        <v>52785</v>
      </c>
      <c r="F272" s="391">
        <f>F297+F273+F279+F285+F291+F310</f>
        <v>46050</v>
      </c>
      <c r="G272" s="392">
        <f>G297+G273+G279+G285+G291+G310</f>
        <v>4871</v>
      </c>
      <c r="H272" s="391"/>
      <c r="I272" s="392"/>
      <c r="J272" s="913">
        <f>J297+J273+J279+J285+J291+J310</f>
        <v>5612</v>
      </c>
      <c r="K272" s="901"/>
    </row>
    <row r="273" spans="1:11" s="602" customFormat="1" ht="20.25" customHeight="1">
      <c r="A273" s="918" t="s">
        <v>953</v>
      </c>
      <c r="B273" s="401" t="s">
        <v>954</v>
      </c>
      <c r="C273" s="402" t="s">
        <v>864</v>
      </c>
      <c r="D273" s="402" t="s">
        <v>955</v>
      </c>
      <c r="E273" s="403">
        <v>438</v>
      </c>
      <c r="F273" s="403">
        <v>438</v>
      </c>
      <c r="G273" s="404">
        <v>405</v>
      </c>
      <c r="H273" s="403"/>
      <c r="I273" s="404"/>
      <c r="J273" s="919">
        <v>405</v>
      </c>
      <c r="K273" s="1107"/>
    </row>
    <row r="274" spans="1:11" s="602" customFormat="1" ht="20.25" customHeight="1">
      <c r="A274" s="916"/>
      <c r="B274" s="397" t="s">
        <v>1140</v>
      </c>
      <c r="C274" s="398"/>
      <c r="D274" s="398"/>
      <c r="E274" s="399">
        <v>395</v>
      </c>
      <c r="F274" s="399">
        <v>395</v>
      </c>
      <c r="G274" s="400">
        <v>395</v>
      </c>
      <c r="H274" s="399"/>
      <c r="I274" s="400"/>
      <c r="J274" s="917">
        <v>395</v>
      </c>
      <c r="K274" s="901"/>
    </row>
    <row r="275" spans="1:11" s="602" customFormat="1" ht="20.25" customHeight="1">
      <c r="A275" s="916"/>
      <c r="B275" s="397" t="s">
        <v>1136</v>
      </c>
      <c r="C275" s="398"/>
      <c r="D275" s="398"/>
      <c r="E275" s="399">
        <v>30</v>
      </c>
      <c r="F275" s="399">
        <v>30</v>
      </c>
      <c r="G275" s="400">
        <v>0</v>
      </c>
      <c r="H275" s="399"/>
      <c r="I275" s="400"/>
      <c r="J275" s="917">
        <v>0</v>
      </c>
      <c r="K275" s="901"/>
    </row>
    <row r="276" spans="1:11" s="602" customFormat="1" ht="20.25" customHeight="1">
      <c r="A276" s="916"/>
      <c r="B276" s="397" t="s">
        <v>1137</v>
      </c>
      <c r="C276" s="398"/>
      <c r="D276" s="398"/>
      <c r="E276" s="399">
        <v>13</v>
      </c>
      <c r="F276" s="399">
        <v>13</v>
      </c>
      <c r="G276" s="400">
        <v>10</v>
      </c>
      <c r="H276" s="399"/>
      <c r="I276" s="400"/>
      <c r="J276" s="917">
        <v>10</v>
      </c>
      <c r="K276" s="901"/>
    </row>
    <row r="277" spans="1:11" s="602" customFormat="1" ht="20.25" customHeight="1">
      <c r="A277" s="916"/>
      <c r="B277" s="397" t="s">
        <v>1138</v>
      </c>
      <c r="C277" s="398"/>
      <c r="D277" s="398"/>
      <c r="E277" s="399">
        <v>10</v>
      </c>
      <c r="F277" s="399">
        <v>10</v>
      </c>
      <c r="G277" s="400">
        <v>10</v>
      </c>
      <c r="H277" s="399"/>
      <c r="I277" s="400"/>
      <c r="J277" s="917">
        <v>10</v>
      </c>
      <c r="K277" s="901"/>
    </row>
    <row r="278" spans="1:11" s="602" customFormat="1" ht="20.25" customHeight="1">
      <c r="A278" s="916"/>
      <c r="B278" s="397" t="s">
        <v>1145</v>
      </c>
      <c r="C278" s="398"/>
      <c r="D278" s="398"/>
      <c r="E278" s="399">
        <v>3</v>
      </c>
      <c r="F278" s="399">
        <v>3</v>
      </c>
      <c r="G278" s="400">
        <v>0</v>
      </c>
      <c r="H278" s="399"/>
      <c r="I278" s="400"/>
      <c r="J278" s="917">
        <v>0</v>
      </c>
      <c r="K278" s="901"/>
    </row>
    <row r="279" spans="1:11" s="602" customFormat="1" ht="20.25" customHeight="1">
      <c r="A279" s="918" t="s">
        <v>956</v>
      </c>
      <c r="B279" s="401" t="s">
        <v>957</v>
      </c>
      <c r="C279" s="402" t="s">
        <v>951</v>
      </c>
      <c r="D279" s="402" t="s">
        <v>958</v>
      </c>
      <c r="E279" s="403">
        <v>29122</v>
      </c>
      <c r="F279" s="403">
        <v>25827</v>
      </c>
      <c r="G279" s="404">
        <v>953</v>
      </c>
      <c r="H279" s="403"/>
      <c r="I279" s="404"/>
      <c r="J279" s="919">
        <v>953</v>
      </c>
      <c r="K279" s="1107"/>
    </row>
    <row r="280" spans="1:11" s="602" customFormat="1" ht="20.25" customHeight="1">
      <c r="A280" s="916"/>
      <c r="B280" s="397" t="s">
        <v>1140</v>
      </c>
      <c r="C280" s="398"/>
      <c r="D280" s="398"/>
      <c r="E280" s="399">
        <v>26333</v>
      </c>
      <c r="F280" s="399">
        <v>23133</v>
      </c>
      <c r="G280" s="400">
        <v>900</v>
      </c>
      <c r="H280" s="399"/>
      <c r="I280" s="400"/>
      <c r="J280" s="917">
        <v>900</v>
      </c>
      <c r="K280" s="901"/>
    </row>
    <row r="281" spans="1:11" s="602" customFormat="1" ht="20.25" customHeight="1">
      <c r="A281" s="916"/>
      <c r="B281" s="397" t="s">
        <v>1136</v>
      </c>
      <c r="C281" s="398"/>
      <c r="D281" s="398"/>
      <c r="E281" s="399">
        <v>1671</v>
      </c>
      <c r="F281" s="399">
        <v>1671</v>
      </c>
      <c r="G281" s="400">
        <v>0</v>
      </c>
      <c r="H281" s="399"/>
      <c r="I281" s="400"/>
      <c r="J281" s="917">
        <v>0</v>
      </c>
      <c r="K281" s="901"/>
    </row>
    <row r="282" spans="1:11" s="602" customFormat="1" ht="20.25" customHeight="1">
      <c r="A282" s="916"/>
      <c r="B282" s="397" t="s">
        <v>1137</v>
      </c>
      <c r="C282" s="398"/>
      <c r="D282" s="398"/>
      <c r="E282" s="399">
        <v>1118</v>
      </c>
      <c r="F282" s="399">
        <v>1023</v>
      </c>
      <c r="G282" s="400">
        <v>53</v>
      </c>
      <c r="H282" s="399"/>
      <c r="I282" s="400"/>
      <c r="J282" s="917">
        <v>53</v>
      </c>
      <c r="K282" s="901"/>
    </row>
    <row r="283" spans="1:11" s="602" customFormat="1" ht="20.25" customHeight="1">
      <c r="A283" s="916"/>
      <c r="B283" s="397" t="s">
        <v>1150</v>
      </c>
      <c r="C283" s="398"/>
      <c r="D283" s="398"/>
      <c r="E283" s="399">
        <v>1061</v>
      </c>
      <c r="F283" s="399">
        <v>966</v>
      </c>
      <c r="G283" s="400">
        <v>53</v>
      </c>
      <c r="H283" s="399"/>
      <c r="I283" s="400"/>
      <c r="J283" s="917">
        <v>53</v>
      </c>
      <c r="K283" s="901"/>
    </row>
    <row r="284" spans="1:11" s="602" customFormat="1" ht="20.25" customHeight="1">
      <c r="A284" s="916"/>
      <c r="B284" s="397" t="s">
        <v>1139</v>
      </c>
      <c r="C284" s="398"/>
      <c r="D284" s="398"/>
      <c r="E284" s="399">
        <v>57</v>
      </c>
      <c r="F284" s="399">
        <v>57</v>
      </c>
      <c r="G284" s="400">
        <v>0</v>
      </c>
      <c r="H284" s="399"/>
      <c r="I284" s="400"/>
      <c r="J284" s="917">
        <v>0</v>
      </c>
      <c r="K284" s="901"/>
    </row>
    <row r="285" spans="1:11" s="602" customFormat="1" ht="20.25" customHeight="1">
      <c r="A285" s="918" t="s">
        <v>959</v>
      </c>
      <c r="B285" s="401" t="s">
        <v>960</v>
      </c>
      <c r="C285" s="402" t="s">
        <v>917</v>
      </c>
      <c r="D285" s="402" t="s">
        <v>864</v>
      </c>
      <c r="E285" s="403">
        <v>6651</v>
      </c>
      <c r="F285" s="403">
        <v>6651</v>
      </c>
      <c r="G285" s="404">
        <v>83</v>
      </c>
      <c r="H285" s="403"/>
      <c r="I285" s="404"/>
      <c r="J285" s="919">
        <v>100</v>
      </c>
      <c r="K285" s="1107"/>
    </row>
    <row r="286" spans="1:11" s="602" customFormat="1" ht="20.25" customHeight="1">
      <c r="A286" s="916"/>
      <c r="B286" s="397" t="s">
        <v>1140</v>
      </c>
      <c r="C286" s="398"/>
      <c r="D286" s="398"/>
      <c r="E286" s="399">
        <v>6300</v>
      </c>
      <c r="F286" s="399">
        <v>6300</v>
      </c>
      <c r="G286" s="400">
        <v>0</v>
      </c>
      <c r="H286" s="399"/>
      <c r="I286" s="400"/>
      <c r="J286" s="917">
        <v>0</v>
      </c>
      <c r="K286" s="901"/>
    </row>
    <row r="287" spans="1:11" s="602" customFormat="1" ht="20.25" customHeight="1">
      <c r="A287" s="916"/>
      <c r="B287" s="397" t="s">
        <v>1141</v>
      </c>
      <c r="C287" s="398"/>
      <c r="D287" s="398"/>
      <c r="E287" s="399">
        <v>91</v>
      </c>
      <c r="F287" s="399">
        <v>91</v>
      </c>
      <c r="G287" s="400">
        <v>0</v>
      </c>
      <c r="H287" s="399"/>
      <c r="I287" s="400"/>
      <c r="J287" s="917">
        <v>0</v>
      </c>
      <c r="K287" s="901"/>
    </row>
    <row r="288" spans="1:11" s="602" customFormat="1" ht="20.25" customHeight="1">
      <c r="A288" s="916"/>
      <c r="B288" s="397" t="s">
        <v>1142</v>
      </c>
      <c r="C288" s="398"/>
      <c r="D288" s="398"/>
      <c r="E288" s="399">
        <v>260</v>
      </c>
      <c r="F288" s="399">
        <v>260</v>
      </c>
      <c r="G288" s="400">
        <v>83</v>
      </c>
      <c r="H288" s="399"/>
      <c r="I288" s="400"/>
      <c r="J288" s="917">
        <v>100</v>
      </c>
      <c r="K288" s="901"/>
    </row>
    <row r="289" spans="1:11" s="602" customFormat="1" ht="20.25" customHeight="1">
      <c r="A289" s="916"/>
      <c r="B289" s="397" t="s">
        <v>1147</v>
      </c>
      <c r="C289" s="398"/>
      <c r="D289" s="398"/>
      <c r="E289" s="399">
        <v>255</v>
      </c>
      <c r="F289" s="399">
        <v>255</v>
      </c>
      <c r="G289" s="400">
        <v>83</v>
      </c>
      <c r="H289" s="399"/>
      <c r="I289" s="400"/>
      <c r="J289" s="917">
        <v>100</v>
      </c>
      <c r="K289" s="901"/>
    </row>
    <row r="290" spans="1:11" s="602" customFormat="1" ht="20.25" customHeight="1">
      <c r="A290" s="916"/>
      <c r="B290" s="397" t="s">
        <v>1149</v>
      </c>
      <c r="C290" s="398"/>
      <c r="D290" s="398"/>
      <c r="E290" s="399">
        <v>5</v>
      </c>
      <c r="F290" s="399">
        <v>5</v>
      </c>
      <c r="G290" s="400">
        <v>0</v>
      </c>
      <c r="H290" s="399"/>
      <c r="I290" s="400"/>
      <c r="J290" s="917">
        <v>0</v>
      </c>
      <c r="K290" s="901"/>
    </row>
    <row r="291" spans="1:11" s="602" customFormat="1" ht="20.25" customHeight="1">
      <c r="A291" s="918" t="s">
        <v>961</v>
      </c>
      <c r="B291" s="410" t="s">
        <v>962</v>
      </c>
      <c r="C291" s="402" t="s">
        <v>963</v>
      </c>
      <c r="D291" s="402" t="s">
        <v>849</v>
      </c>
      <c r="E291" s="411">
        <v>14463</v>
      </c>
      <c r="F291" s="411">
        <f>SUM(F292:F294)</f>
        <v>11112</v>
      </c>
      <c r="G291" s="412">
        <f>SUM(G292:G294)</f>
        <v>3199</v>
      </c>
      <c r="H291" s="481"/>
      <c r="I291" s="412"/>
      <c r="J291" s="923">
        <f>SUM(J292:J294)</f>
        <v>3222</v>
      </c>
      <c r="K291" s="1107"/>
    </row>
    <row r="292" spans="1:11" s="602" customFormat="1" ht="20.25" customHeight="1">
      <c r="A292" s="916"/>
      <c r="B292" s="397" t="s">
        <v>1140</v>
      </c>
      <c r="C292" s="398"/>
      <c r="D292" s="398"/>
      <c r="E292" s="399">
        <v>13368</v>
      </c>
      <c r="F292" s="399">
        <v>10140</v>
      </c>
      <c r="G292" s="400">
        <v>3143</v>
      </c>
      <c r="H292" s="399"/>
      <c r="I292" s="400"/>
      <c r="J292" s="917">
        <v>3143</v>
      </c>
      <c r="K292" s="901"/>
    </row>
    <row r="293" spans="1:11" s="602" customFormat="1" ht="20.25" customHeight="1">
      <c r="A293" s="916"/>
      <c r="B293" s="397" t="s">
        <v>1141</v>
      </c>
      <c r="C293" s="398"/>
      <c r="D293" s="398"/>
      <c r="E293" s="399">
        <v>714</v>
      </c>
      <c r="F293" s="399">
        <v>714</v>
      </c>
      <c r="G293" s="400">
        <v>0</v>
      </c>
      <c r="H293" s="399"/>
      <c r="I293" s="400"/>
      <c r="J293" s="917">
        <v>0</v>
      </c>
      <c r="K293" s="901"/>
    </row>
    <row r="294" spans="1:11" s="602" customFormat="1" ht="20.25" customHeight="1">
      <c r="A294" s="916"/>
      <c r="B294" s="397" t="s">
        <v>1142</v>
      </c>
      <c r="C294" s="398"/>
      <c r="D294" s="398"/>
      <c r="E294" s="399">
        <v>381</v>
      </c>
      <c r="F294" s="399">
        <v>258</v>
      </c>
      <c r="G294" s="400">
        <v>56</v>
      </c>
      <c r="H294" s="399"/>
      <c r="I294" s="400"/>
      <c r="J294" s="917">
        <v>79</v>
      </c>
      <c r="K294" s="901"/>
    </row>
    <row r="295" spans="1:11" s="602" customFormat="1" ht="20.25" customHeight="1">
      <c r="A295" s="916"/>
      <c r="B295" s="397" t="s">
        <v>1147</v>
      </c>
      <c r="C295" s="398"/>
      <c r="D295" s="398"/>
      <c r="E295" s="399">
        <v>348</v>
      </c>
      <c r="F295" s="399">
        <v>225</v>
      </c>
      <c r="G295" s="400">
        <v>56</v>
      </c>
      <c r="H295" s="399"/>
      <c r="I295" s="400"/>
      <c r="J295" s="917">
        <v>79</v>
      </c>
      <c r="K295" s="901"/>
    </row>
    <row r="296" spans="1:11" s="602" customFormat="1" ht="20.25" customHeight="1">
      <c r="A296" s="916"/>
      <c r="B296" s="397" t="s">
        <v>1145</v>
      </c>
      <c r="C296" s="398"/>
      <c r="D296" s="398"/>
      <c r="E296" s="399">
        <v>33</v>
      </c>
      <c r="F296" s="399">
        <v>33</v>
      </c>
      <c r="G296" s="400">
        <v>0</v>
      </c>
      <c r="H296" s="399"/>
      <c r="I296" s="400"/>
      <c r="J296" s="917">
        <v>0</v>
      </c>
      <c r="K296" s="901"/>
    </row>
    <row r="297" spans="1:11" s="602" customFormat="1" ht="20.25" customHeight="1">
      <c r="A297" s="918" t="s">
        <v>964</v>
      </c>
      <c r="B297" s="401" t="s">
        <v>965</v>
      </c>
      <c r="C297" s="402" t="s">
        <v>966</v>
      </c>
      <c r="D297" s="402" t="s">
        <v>849</v>
      </c>
      <c r="E297" s="403">
        <v>1410</v>
      </c>
      <c r="F297" s="403">
        <f>SUM(F298:F300)</f>
        <v>1321</v>
      </c>
      <c r="G297" s="404">
        <v>231</v>
      </c>
      <c r="H297" s="403"/>
      <c r="I297" s="404"/>
      <c r="J297" s="919">
        <v>231</v>
      </c>
      <c r="K297" s="1107"/>
    </row>
    <row r="298" spans="1:11" s="602" customFormat="1" ht="20.25" customHeight="1">
      <c r="A298" s="918"/>
      <c r="B298" s="397" t="s">
        <v>1140</v>
      </c>
      <c r="C298" s="398"/>
      <c r="D298" s="398"/>
      <c r="E298" s="399">
        <v>1254</v>
      </c>
      <c r="F298" s="399">
        <v>1165</v>
      </c>
      <c r="G298" s="400">
        <v>199</v>
      </c>
      <c r="H298" s="399"/>
      <c r="I298" s="400"/>
      <c r="J298" s="917">
        <v>199</v>
      </c>
      <c r="K298" s="901"/>
    </row>
    <row r="299" spans="1:11" s="602" customFormat="1" ht="20.25" customHeight="1">
      <c r="A299" s="916"/>
      <c r="B299" s="397" t="s">
        <v>1141</v>
      </c>
      <c r="C299" s="398"/>
      <c r="D299" s="398"/>
      <c r="E299" s="399">
        <v>85</v>
      </c>
      <c r="F299" s="399">
        <v>85</v>
      </c>
      <c r="G299" s="400">
        <v>0</v>
      </c>
      <c r="H299" s="399"/>
      <c r="I299" s="400"/>
      <c r="J299" s="917">
        <v>0</v>
      </c>
      <c r="K299" s="901"/>
    </row>
    <row r="300" spans="1:11" s="602" customFormat="1" ht="20.25" customHeight="1">
      <c r="A300" s="916"/>
      <c r="B300" s="397" t="s">
        <v>1142</v>
      </c>
      <c r="C300" s="398"/>
      <c r="D300" s="398"/>
      <c r="E300" s="399">
        <v>71</v>
      </c>
      <c r="F300" s="399">
        <v>71</v>
      </c>
      <c r="G300" s="400">
        <v>32</v>
      </c>
      <c r="H300" s="399"/>
      <c r="I300" s="400"/>
      <c r="J300" s="917">
        <v>32</v>
      </c>
      <c r="K300" s="901"/>
    </row>
    <row r="301" spans="1:11" s="602" customFormat="1" ht="20.25" customHeight="1">
      <c r="A301" s="916"/>
      <c r="B301" s="397" t="s">
        <v>1147</v>
      </c>
      <c r="C301" s="398"/>
      <c r="D301" s="398"/>
      <c r="E301" s="399">
        <v>66</v>
      </c>
      <c r="F301" s="399">
        <v>66</v>
      </c>
      <c r="G301" s="400">
        <v>32</v>
      </c>
      <c r="H301" s="399"/>
      <c r="I301" s="400"/>
      <c r="J301" s="917">
        <v>32</v>
      </c>
      <c r="K301" s="901"/>
    </row>
    <row r="302" spans="1:11" s="602" customFormat="1" ht="20.25" customHeight="1" thickBot="1">
      <c r="A302" s="926"/>
      <c r="B302" s="927" t="s">
        <v>1149</v>
      </c>
      <c r="C302" s="928"/>
      <c r="D302" s="928"/>
      <c r="E302" s="929">
        <v>5</v>
      </c>
      <c r="F302" s="929">
        <v>5</v>
      </c>
      <c r="G302" s="930">
        <v>0</v>
      </c>
      <c r="H302" s="929"/>
      <c r="I302" s="930"/>
      <c r="J302" s="931"/>
      <c r="K302" s="901"/>
    </row>
    <row r="303" spans="1:10" s="603" customFormat="1" ht="20.25" customHeight="1">
      <c r="A303" s="941" t="s">
        <v>167</v>
      </c>
      <c r="B303" s="381"/>
      <c r="C303" s="382"/>
      <c r="D303" s="382"/>
      <c r="E303" s="383"/>
      <c r="F303" s="383"/>
      <c r="G303" s="383"/>
      <c r="H303" s="383"/>
      <c r="I303" s="383"/>
      <c r="J303" s="387"/>
    </row>
    <row r="304" spans="1:10" s="500" customFormat="1" ht="20.25" customHeight="1">
      <c r="A304" s="380"/>
      <c r="B304" s="381"/>
      <c r="C304" s="382"/>
      <c r="D304" s="382"/>
      <c r="E304" s="383"/>
      <c r="F304" s="383"/>
      <c r="G304" s="383"/>
      <c r="H304" s="383"/>
      <c r="I304" s="383"/>
      <c r="J304" s="383"/>
    </row>
    <row r="305" spans="1:10" s="500" customFormat="1" ht="20.25" customHeight="1">
      <c r="A305" s="477" t="s">
        <v>1003</v>
      </c>
      <c r="B305" s="384"/>
      <c r="C305" s="385"/>
      <c r="D305" s="385"/>
      <c r="E305" s="386"/>
      <c r="F305" s="386"/>
      <c r="G305" s="386"/>
      <c r="H305" s="386"/>
      <c r="I305" s="386"/>
      <c r="J305" s="387" t="s">
        <v>1004</v>
      </c>
    </row>
    <row r="306" spans="1:10" s="574" customFormat="1" ht="20.25" customHeight="1" thickBot="1">
      <c r="A306" s="380"/>
      <c r="B306" s="381"/>
      <c r="C306" s="382"/>
      <c r="D306" s="382"/>
      <c r="E306" s="383"/>
      <c r="F306" s="383"/>
      <c r="G306" s="384"/>
      <c r="H306" s="383"/>
      <c r="I306" s="387"/>
      <c r="J306" s="8" t="s">
        <v>260</v>
      </c>
    </row>
    <row r="307" spans="1:11" s="602" customFormat="1" ht="20.25" customHeight="1">
      <c r="A307" s="903" t="s">
        <v>833</v>
      </c>
      <c r="B307" s="904"/>
      <c r="C307" s="905" t="s">
        <v>267</v>
      </c>
      <c r="D307" s="905" t="s">
        <v>834</v>
      </c>
      <c r="E307" s="906" t="s">
        <v>835</v>
      </c>
      <c r="F307" s="906" t="s">
        <v>836</v>
      </c>
      <c r="G307" s="907" t="s">
        <v>837</v>
      </c>
      <c r="H307" s="908"/>
      <c r="I307" s="907"/>
      <c r="J307" s="909" t="s">
        <v>838</v>
      </c>
      <c r="K307" s="901"/>
    </row>
    <row r="308" spans="1:11" s="602" customFormat="1" ht="20.25" customHeight="1">
      <c r="A308" s="910" t="s">
        <v>839</v>
      </c>
      <c r="B308" s="608" t="s">
        <v>840</v>
      </c>
      <c r="C308" s="607" t="s">
        <v>841</v>
      </c>
      <c r="D308" s="607" t="s">
        <v>842</v>
      </c>
      <c r="E308" s="609" t="s">
        <v>843</v>
      </c>
      <c r="F308" s="609" t="s">
        <v>844</v>
      </c>
      <c r="G308" s="610" t="s">
        <v>845</v>
      </c>
      <c r="H308" s="611"/>
      <c r="I308" s="610"/>
      <c r="J308" s="911" t="s">
        <v>845</v>
      </c>
      <c r="K308" s="901"/>
    </row>
    <row r="309" spans="1:11" s="602" customFormat="1" ht="20.25" customHeight="1" thickBot="1">
      <c r="A309" s="1074"/>
      <c r="B309" s="1075"/>
      <c r="C309" s="1076"/>
      <c r="D309" s="1076"/>
      <c r="E309" s="1077" t="s">
        <v>846</v>
      </c>
      <c r="F309" s="1077">
        <v>2007</v>
      </c>
      <c r="G309" s="1078" t="s">
        <v>1005</v>
      </c>
      <c r="H309" s="1079"/>
      <c r="I309" s="1078"/>
      <c r="J309" s="1080" t="s">
        <v>1005</v>
      </c>
      <c r="K309" s="901"/>
    </row>
    <row r="310" spans="1:11" s="602" customFormat="1" ht="20.25" customHeight="1">
      <c r="A310" s="1095" t="s">
        <v>967</v>
      </c>
      <c r="B310" s="1102" t="s">
        <v>968</v>
      </c>
      <c r="C310" s="1097" t="s">
        <v>969</v>
      </c>
      <c r="D310" s="1097" t="s">
        <v>864</v>
      </c>
      <c r="E310" s="1103">
        <v>701</v>
      </c>
      <c r="F310" s="1103">
        <v>701</v>
      </c>
      <c r="G310" s="1104">
        <v>0</v>
      </c>
      <c r="H310" s="1105"/>
      <c r="I310" s="1104"/>
      <c r="J310" s="1106">
        <v>701</v>
      </c>
      <c r="K310" s="1107"/>
    </row>
    <row r="311" spans="1:11" s="602" customFormat="1" ht="20.25" customHeight="1">
      <c r="A311" s="916"/>
      <c r="B311" s="397" t="s">
        <v>1140</v>
      </c>
      <c r="C311" s="398"/>
      <c r="D311" s="398"/>
      <c r="E311" s="399">
        <v>680</v>
      </c>
      <c r="F311" s="399">
        <v>680</v>
      </c>
      <c r="G311" s="400">
        <v>0</v>
      </c>
      <c r="H311" s="399"/>
      <c r="I311" s="400"/>
      <c r="J311" s="917">
        <v>680</v>
      </c>
      <c r="K311" s="901"/>
    </row>
    <row r="312" spans="1:11" s="602" customFormat="1" ht="20.25" customHeight="1">
      <c r="A312" s="916"/>
      <c r="B312" s="397" t="s">
        <v>1141</v>
      </c>
      <c r="C312" s="398"/>
      <c r="D312" s="398"/>
      <c r="E312" s="399">
        <v>0</v>
      </c>
      <c r="F312" s="399">
        <v>0</v>
      </c>
      <c r="G312" s="400">
        <v>0</v>
      </c>
      <c r="H312" s="399"/>
      <c r="I312" s="400"/>
      <c r="J312" s="917">
        <v>0</v>
      </c>
      <c r="K312" s="901"/>
    </row>
    <row r="313" spans="1:11" s="602" customFormat="1" ht="20.25" customHeight="1">
      <c r="A313" s="916"/>
      <c r="B313" s="397" t="s">
        <v>1142</v>
      </c>
      <c r="C313" s="398"/>
      <c r="D313" s="398"/>
      <c r="E313" s="399">
        <v>21</v>
      </c>
      <c r="F313" s="399">
        <v>21</v>
      </c>
      <c r="G313" s="400">
        <v>0</v>
      </c>
      <c r="H313" s="399"/>
      <c r="I313" s="400"/>
      <c r="J313" s="917">
        <v>21</v>
      </c>
      <c r="K313" s="901"/>
    </row>
    <row r="314" spans="1:11" s="602" customFormat="1" ht="20.25" customHeight="1">
      <c r="A314" s="916"/>
      <c r="B314" s="397" t="s">
        <v>1146</v>
      </c>
      <c r="C314" s="398"/>
      <c r="D314" s="398"/>
      <c r="E314" s="399">
        <v>21</v>
      </c>
      <c r="F314" s="399">
        <v>21</v>
      </c>
      <c r="G314" s="400">
        <v>0</v>
      </c>
      <c r="H314" s="399"/>
      <c r="I314" s="400"/>
      <c r="J314" s="917">
        <v>21</v>
      </c>
      <c r="K314" s="901"/>
    </row>
    <row r="315" spans="1:11" s="602" customFormat="1" ht="20.25" customHeight="1">
      <c r="A315" s="916"/>
      <c r="B315" s="397" t="s">
        <v>1149</v>
      </c>
      <c r="C315" s="398"/>
      <c r="D315" s="398"/>
      <c r="E315" s="399">
        <v>0</v>
      </c>
      <c r="F315" s="399">
        <v>0</v>
      </c>
      <c r="G315" s="400">
        <v>0</v>
      </c>
      <c r="H315" s="399"/>
      <c r="I315" s="400"/>
      <c r="J315" s="917">
        <v>0</v>
      </c>
      <c r="K315" s="901"/>
    </row>
    <row r="316" spans="1:11" s="602" customFormat="1" ht="20.25" customHeight="1">
      <c r="A316" s="920" t="s">
        <v>970</v>
      </c>
      <c r="B316" s="427" t="s">
        <v>971</v>
      </c>
      <c r="C316" s="390"/>
      <c r="D316" s="390"/>
      <c r="E316" s="428">
        <f>E323+E317</f>
        <v>6894</v>
      </c>
      <c r="F316" s="428">
        <f>F323+F317</f>
        <v>6894</v>
      </c>
      <c r="G316" s="429">
        <f>G323+G317</f>
        <v>78</v>
      </c>
      <c r="H316" s="482"/>
      <c r="I316" s="430"/>
      <c r="J316" s="937">
        <f>J323+J317</f>
        <v>123</v>
      </c>
      <c r="K316" s="901"/>
    </row>
    <row r="317" spans="1:11" s="602" customFormat="1" ht="20.25" customHeight="1">
      <c r="A317" s="918" t="s">
        <v>972</v>
      </c>
      <c r="B317" s="401" t="s">
        <v>973</v>
      </c>
      <c r="C317" s="402" t="s">
        <v>974</v>
      </c>
      <c r="D317" s="402" t="s">
        <v>905</v>
      </c>
      <c r="E317" s="403">
        <v>5351</v>
      </c>
      <c r="F317" s="403">
        <v>5351</v>
      </c>
      <c r="G317" s="404">
        <v>78</v>
      </c>
      <c r="H317" s="403"/>
      <c r="I317" s="404"/>
      <c r="J317" s="919">
        <v>78</v>
      </c>
      <c r="K317" s="1107"/>
    </row>
    <row r="318" spans="1:11" s="602" customFormat="1" ht="20.25" customHeight="1">
      <c r="A318" s="916"/>
      <c r="B318" s="397" t="s">
        <v>1140</v>
      </c>
      <c r="C318" s="398"/>
      <c r="D318" s="398"/>
      <c r="E318" s="399">
        <v>5163</v>
      </c>
      <c r="F318" s="399">
        <v>5163</v>
      </c>
      <c r="G318" s="400">
        <v>71</v>
      </c>
      <c r="H318" s="399"/>
      <c r="I318" s="400"/>
      <c r="J318" s="917">
        <v>71</v>
      </c>
      <c r="K318" s="901"/>
    </row>
    <row r="319" spans="1:11" s="602" customFormat="1" ht="20.25" customHeight="1">
      <c r="A319" s="916"/>
      <c r="B319" s="397" t="s">
        <v>1136</v>
      </c>
      <c r="C319" s="398"/>
      <c r="D319" s="398"/>
      <c r="E319" s="399">
        <v>57</v>
      </c>
      <c r="F319" s="399">
        <v>57</v>
      </c>
      <c r="G319" s="400">
        <v>0</v>
      </c>
      <c r="H319" s="399"/>
      <c r="I319" s="400"/>
      <c r="J319" s="917">
        <v>0</v>
      </c>
      <c r="K319" s="901"/>
    </row>
    <row r="320" spans="1:11" s="602" customFormat="1" ht="20.25" customHeight="1">
      <c r="A320" s="916"/>
      <c r="B320" s="397" t="s">
        <v>1137</v>
      </c>
      <c r="C320" s="398"/>
      <c r="D320" s="398"/>
      <c r="E320" s="399">
        <v>131</v>
      </c>
      <c r="F320" s="399">
        <v>131</v>
      </c>
      <c r="G320" s="400">
        <v>7</v>
      </c>
      <c r="H320" s="399"/>
      <c r="I320" s="400"/>
      <c r="J320" s="917">
        <v>7</v>
      </c>
      <c r="K320" s="901"/>
    </row>
    <row r="321" spans="1:11" s="602" customFormat="1" ht="20.25" customHeight="1">
      <c r="A321" s="916"/>
      <c r="B321" s="397" t="s">
        <v>1150</v>
      </c>
      <c r="C321" s="398"/>
      <c r="D321" s="398"/>
      <c r="E321" s="399">
        <v>129</v>
      </c>
      <c r="F321" s="399">
        <v>129</v>
      </c>
      <c r="G321" s="400">
        <v>7</v>
      </c>
      <c r="H321" s="399"/>
      <c r="I321" s="400"/>
      <c r="J321" s="917">
        <v>7</v>
      </c>
      <c r="K321" s="901"/>
    </row>
    <row r="322" spans="1:11" s="602" customFormat="1" ht="20.25" customHeight="1">
      <c r="A322" s="916"/>
      <c r="B322" s="397" t="s">
        <v>1145</v>
      </c>
      <c r="C322" s="398"/>
      <c r="D322" s="398"/>
      <c r="E322" s="399">
        <v>2</v>
      </c>
      <c r="F322" s="399">
        <v>2</v>
      </c>
      <c r="G322" s="400">
        <v>0</v>
      </c>
      <c r="H322" s="399"/>
      <c r="I322" s="400"/>
      <c r="J322" s="917">
        <v>0</v>
      </c>
      <c r="K322" s="901"/>
    </row>
    <row r="323" spans="1:11" s="602" customFormat="1" ht="20.25" customHeight="1">
      <c r="A323" s="918" t="s">
        <v>975</v>
      </c>
      <c r="B323" s="410" t="s">
        <v>976</v>
      </c>
      <c r="C323" s="402" t="s">
        <v>977</v>
      </c>
      <c r="D323" s="402" t="s">
        <v>902</v>
      </c>
      <c r="E323" s="411">
        <v>1543</v>
      </c>
      <c r="F323" s="411">
        <v>1543</v>
      </c>
      <c r="G323" s="412">
        <v>0</v>
      </c>
      <c r="H323" s="481"/>
      <c r="I323" s="412"/>
      <c r="J323" s="923">
        <v>45</v>
      </c>
      <c r="K323" s="1107"/>
    </row>
    <row r="324" spans="1:11" s="602" customFormat="1" ht="20.25" customHeight="1">
      <c r="A324" s="916"/>
      <c r="B324" s="397" t="s">
        <v>1140</v>
      </c>
      <c r="C324" s="398"/>
      <c r="D324" s="398"/>
      <c r="E324" s="399">
        <v>1465</v>
      </c>
      <c r="F324" s="399">
        <v>1465</v>
      </c>
      <c r="G324" s="400">
        <v>0</v>
      </c>
      <c r="H324" s="399"/>
      <c r="I324" s="400"/>
      <c r="J324" s="917">
        <v>0</v>
      </c>
      <c r="K324" s="901"/>
    </row>
    <row r="325" spans="1:11" s="602" customFormat="1" ht="20.25" customHeight="1">
      <c r="A325" s="916"/>
      <c r="B325" s="397" t="s">
        <v>1141</v>
      </c>
      <c r="C325" s="398"/>
      <c r="D325" s="398"/>
      <c r="E325" s="399">
        <v>33</v>
      </c>
      <c r="F325" s="399">
        <v>33</v>
      </c>
      <c r="G325" s="400">
        <v>0</v>
      </c>
      <c r="H325" s="399"/>
      <c r="I325" s="400"/>
      <c r="J325" s="917">
        <v>0</v>
      </c>
      <c r="K325" s="901"/>
    </row>
    <row r="326" spans="1:11" s="602" customFormat="1" ht="20.25" customHeight="1">
      <c r="A326" s="916"/>
      <c r="B326" s="397" t="s">
        <v>1142</v>
      </c>
      <c r="C326" s="398"/>
      <c r="D326" s="398"/>
      <c r="E326" s="399">
        <v>45</v>
      </c>
      <c r="F326" s="399">
        <v>45</v>
      </c>
      <c r="G326" s="400">
        <v>0</v>
      </c>
      <c r="H326" s="399"/>
      <c r="I326" s="400"/>
      <c r="J326" s="917">
        <v>45</v>
      </c>
      <c r="K326" s="901"/>
    </row>
    <row r="327" spans="1:11" s="602" customFormat="1" ht="20.25" customHeight="1">
      <c r="A327" s="916"/>
      <c r="B327" s="397" t="s">
        <v>1143</v>
      </c>
      <c r="C327" s="398"/>
      <c r="D327" s="398"/>
      <c r="E327" s="399">
        <v>44</v>
      </c>
      <c r="F327" s="399">
        <v>44</v>
      </c>
      <c r="G327" s="400">
        <v>0</v>
      </c>
      <c r="H327" s="399"/>
      <c r="I327" s="400"/>
      <c r="J327" s="917">
        <v>45</v>
      </c>
      <c r="K327" s="901"/>
    </row>
    <row r="328" spans="1:11" s="602" customFormat="1" ht="20.25" customHeight="1">
      <c r="A328" s="916"/>
      <c r="B328" s="397" t="s">
        <v>1145</v>
      </c>
      <c r="C328" s="398"/>
      <c r="D328" s="398"/>
      <c r="E328" s="399">
        <v>1</v>
      </c>
      <c r="F328" s="399">
        <v>1</v>
      </c>
      <c r="G328" s="400">
        <v>0</v>
      </c>
      <c r="H328" s="399"/>
      <c r="I328" s="400"/>
      <c r="J328" s="917"/>
      <c r="K328" s="901"/>
    </row>
    <row r="329" spans="1:11" s="602" customFormat="1" ht="20.25" customHeight="1">
      <c r="A329" s="920" t="s">
        <v>978</v>
      </c>
      <c r="B329" s="405" t="s">
        <v>979</v>
      </c>
      <c r="C329" s="390"/>
      <c r="D329" s="390"/>
      <c r="E329" s="391">
        <v>0</v>
      </c>
      <c r="F329" s="391">
        <v>0</v>
      </c>
      <c r="G329" s="392">
        <v>0</v>
      </c>
      <c r="H329" s="391"/>
      <c r="I329" s="392"/>
      <c r="J329" s="913">
        <v>0</v>
      </c>
      <c r="K329" s="901"/>
    </row>
    <row r="330" spans="1:11" s="602" customFormat="1" ht="20.25" customHeight="1">
      <c r="A330" s="920" t="s">
        <v>1128</v>
      </c>
      <c r="B330" s="405" t="s">
        <v>1133</v>
      </c>
      <c r="C330" s="390"/>
      <c r="D330" s="390"/>
      <c r="E330" s="391">
        <f>E331</f>
        <v>17822</v>
      </c>
      <c r="F330" s="391">
        <f>F331</f>
        <v>17822</v>
      </c>
      <c r="G330" s="392">
        <f>G331</f>
        <v>9736</v>
      </c>
      <c r="H330" s="391"/>
      <c r="I330" s="392"/>
      <c r="J330" s="925">
        <f>SUM(J331)</f>
        <v>11787</v>
      </c>
      <c r="K330" s="901"/>
    </row>
    <row r="331" spans="1:11" s="602" customFormat="1" ht="20.25" customHeight="1">
      <c r="A331" s="918" t="s">
        <v>980</v>
      </c>
      <c r="B331" s="401" t="s">
        <v>981</v>
      </c>
      <c r="C331" s="402" t="s">
        <v>982</v>
      </c>
      <c r="D331" s="402" t="s">
        <v>860</v>
      </c>
      <c r="E331" s="403">
        <v>17822</v>
      </c>
      <c r="F331" s="403">
        <f>SUM(F332:F334)</f>
        <v>17822</v>
      </c>
      <c r="G331" s="404">
        <f>SUM(G332:G334)</f>
        <v>9736</v>
      </c>
      <c r="H331" s="403"/>
      <c r="I331" s="404"/>
      <c r="J331" s="919">
        <v>11787</v>
      </c>
      <c r="K331" s="1107"/>
    </row>
    <row r="332" spans="1:11" s="602" customFormat="1" ht="20.25" customHeight="1">
      <c r="A332" s="916"/>
      <c r="B332" s="397" t="s">
        <v>1140</v>
      </c>
      <c r="C332" s="398"/>
      <c r="D332" s="398"/>
      <c r="E332" s="399">
        <v>17253</v>
      </c>
      <c r="F332" s="399">
        <v>17253</v>
      </c>
      <c r="G332" s="400">
        <v>9167</v>
      </c>
      <c r="H332" s="399"/>
      <c r="I332" s="400"/>
      <c r="J332" s="917">
        <v>11218</v>
      </c>
      <c r="K332" s="901"/>
    </row>
    <row r="333" spans="1:11" s="602" customFormat="1" ht="20.25" customHeight="1">
      <c r="A333" s="916"/>
      <c r="B333" s="397" t="s">
        <v>1141</v>
      </c>
      <c r="C333" s="398"/>
      <c r="D333" s="398"/>
      <c r="E333" s="399">
        <v>0</v>
      </c>
      <c r="F333" s="399">
        <v>0</v>
      </c>
      <c r="G333" s="400">
        <v>0</v>
      </c>
      <c r="H333" s="399"/>
      <c r="I333" s="400"/>
      <c r="J333" s="917">
        <v>0</v>
      </c>
      <c r="K333" s="901"/>
    </row>
    <row r="334" spans="1:11" s="602" customFormat="1" ht="20.25" customHeight="1">
      <c r="A334" s="916"/>
      <c r="B334" s="397" t="s">
        <v>1142</v>
      </c>
      <c r="C334" s="398"/>
      <c r="D334" s="398"/>
      <c r="E334" s="399">
        <v>569</v>
      </c>
      <c r="F334" s="399">
        <v>569</v>
      </c>
      <c r="G334" s="400">
        <v>569</v>
      </c>
      <c r="H334" s="399"/>
      <c r="I334" s="400"/>
      <c r="J334" s="917">
        <v>569</v>
      </c>
      <c r="K334" s="901"/>
    </row>
    <row r="335" spans="1:11" s="602" customFormat="1" ht="20.25" customHeight="1">
      <c r="A335" s="916"/>
      <c r="B335" s="397" t="s">
        <v>1146</v>
      </c>
      <c r="C335" s="398"/>
      <c r="D335" s="398"/>
      <c r="E335" s="399">
        <v>569</v>
      </c>
      <c r="F335" s="399">
        <v>569</v>
      </c>
      <c r="G335" s="400">
        <v>569</v>
      </c>
      <c r="H335" s="399"/>
      <c r="I335" s="400"/>
      <c r="J335" s="917">
        <v>569</v>
      </c>
      <c r="K335" s="901"/>
    </row>
    <row r="336" spans="1:11" s="602" customFormat="1" ht="20.25" customHeight="1" thickBot="1">
      <c r="A336" s="926"/>
      <c r="B336" s="927" t="s">
        <v>1145</v>
      </c>
      <c r="C336" s="928"/>
      <c r="D336" s="928"/>
      <c r="E336" s="929">
        <v>0</v>
      </c>
      <c r="F336" s="929">
        <v>0</v>
      </c>
      <c r="G336" s="930">
        <v>0</v>
      </c>
      <c r="H336" s="929"/>
      <c r="I336" s="930"/>
      <c r="J336" s="931">
        <v>0</v>
      </c>
      <c r="K336" s="901"/>
    </row>
  </sheetData>
  <sheetProtection/>
  <mergeCells count="1">
    <mergeCell ref="A3:G3"/>
  </mergeCells>
  <printOptions/>
  <pageMargins left="1.26" right="0.93" top="0.91" bottom="0.74" header="0.31496062992125984" footer="0.31496062992125984"/>
  <pageSetup horizontalDpi="600" verticalDpi="600" orientation="portrait" paperSize="9" scale="67" r:id="rId1"/>
  <rowBreaks count="6" manualBreakCount="6">
    <brk id="51" max="255" man="1"/>
    <brk id="96" max="255" man="1"/>
    <brk id="146" max="255" man="1"/>
    <brk id="201" max="255" man="1"/>
    <brk id="252" max="255" man="1"/>
    <brk id="3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C49">
      <selection activeCell="Q13" sqref="Q13"/>
    </sheetView>
  </sheetViews>
  <sheetFormatPr defaultColWidth="9.00390625" defaultRowHeight="15.75" customHeight="1"/>
  <cols>
    <col min="1" max="1" width="4.875" style="0" customWidth="1"/>
    <col min="2" max="2" width="16.875" style="0" customWidth="1"/>
    <col min="13" max="13" width="9.00390625" style="0" customWidth="1"/>
    <col min="14" max="14" width="9.125" style="0" hidden="1" customWidth="1"/>
  </cols>
  <sheetData>
    <row r="1" ht="15.75" customHeight="1">
      <c r="M1" s="483"/>
    </row>
    <row r="2" spans="1:13" ht="15.75" customHeight="1">
      <c r="A2" s="1395" t="s">
        <v>167</v>
      </c>
      <c r="B2" s="1395"/>
      <c r="C2" s="1395"/>
      <c r="L2" s="1396" t="s">
        <v>272</v>
      </c>
      <c r="M2" s="1396"/>
    </row>
    <row r="3" spans="12:13" ht="15.75" customHeight="1">
      <c r="L3" s="1399" t="s">
        <v>261</v>
      </c>
      <c r="M3" s="1399"/>
    </row>
    <row r="4" spans="1:13" ht="15.75" customHeight="1">
      <c r="A4" s="1398" t="s">
        <v>1151</v>
      </c>
      <c r="B4" s="1398"/>
      <c r="C4" s="1398"/>
      <c r="D4" s="1398"/>
      <c r="E4" s="1398"/>
      <c r="F4" s="1398"/>
      <c r="G4" s="1398"/>
      <c r="H4" s="1398"/>
      <c r="I4" s="1398"/>
      <c r="J4" s="1398"/>
      <c r="K4" s="1398"/>
      <c r="L4" s="1397" t="s">
        <v>386</v>
      </c>
      <c r="M4" s="1397"/>
    </row>
    <row r="5" spans="1:11" ht="15.75" customHeight="1" thickBot="1">
      <c r="A5" s="484"/>
      <c r="B5" s="484"/>
      <c r="C5" s="484"/>
      <c r="D5" s="484"/>
      <c r="E5" s="484"/>
      <c r="F5" s="484"/>
      <c r="G5" s="484"/>
      <c r="H5" s="484"/>
      <c r="I5" s="484"/>
      <c r="J5" s="29"/>
      <c r="K5" s="29"/>
    </row>
    <row r="6" spans="1:13" ht="15.75" customHeight="1">
      <c r="A6" s="1312" t="s">
        <v>1019</v>
      </c>
      <c r="B6" s="626" t="s">
        <v>1020</v>
      </c>
      <c r="C6" s="627" t="s">
        <v>1021</v>
      </c>
      <c r="D6" s="1301" t="s">
        <v>1021</v>
      </c>
      <c r="E6" s="1392" t="s">
        <v>1022</v>
      </c>
      <c r="F6" s="1393"/>
      <c r="G6" s="1393"/>
      <c r="H6" s="1394"/>
      <c r="I6" s="629" t="s">
        <v>835</v>
      </c>
      <c r="J6" s="628" t="s">
        <v>835</v>
      </c>
      <c r="K6" s="628" t="s">
        <v>835</v>
      </c>
      <c r="L6" s="629" t="s">
        <v>835</v>
      </c>
      <c r="M6" s="642" t="s">
        <v>1023</v>
      </c>
    </row>
    <row r="7" spans="1:13" ht="15.75" customHeight="1">
      <c r="A7" s="1313" t="s">
        <v>1024</v>
      </c>
      <c r="B7" s="634" t="s">
        <v>1025</v>
      </c>
      <c r="C7" s="624" t="s">
        <v>1026</v>
      </c>
      <c r="D7" s="1302" t="s">
        <v>1027</v>
      </c>
      <c r="E7" s="630" t="s">
        <v>1028</v>
      </c>
      <c r="F7" s="631" t="s">
        <v>1029</v>
      </c>
      <c r="G7" s="632" t="s">
        <v>1027</v>
      </c>
      <c r="H7" s="633" t="s">
        <v>1030</v>
      </c>
      <c r="I7" s="635" t="s">
        <v>1031</v>
      </c>
      <c r="J7" s="625" t="s">
        <v>1027</v>
      </c>
      <c r="K7" s="625" t="s">
        <v>1027</v>
      </c>
      <c r="L7" s="635" t="s">
        <v>1030</v>
      </c>
      <c r="M7" s="643" t="s">
        <v>1026</v>
      </c>
    </row>
    <row r="8" spans="1:13" ht="15.75" customHeight="1" thickBot="1">
      <c r="A8" s="1314" t="s">
        <v>546</v>
      </c>
      <c r="B8" s="640" t="s">
        <v>546</v>
      </c>
      <c r="C8" s="636" t="s">
        <v>546</v>
      </c>
      <c r="D8" s="1303" t="s">
        <v>546</v>
      </c>
      <c r="E8" s="636" t="s">
        <v>1032</v>
      </c>
      <c r="F8" s="637" t="s">
        <v>1033</v>
      </c>
      <c r="G8" s="638" t="s">
        <v>1034</v>
      </c>
      <c r="H8" s="639" t="s">
        <v>1027</v>
      </c>
      <c r="I8" s="641" t="s">
        <v>546</v>
      </c>
      <c r="J8" s="637" t="s">
        <v>1035</v>
      </c>
      <c r="K8" s="637" t="s">
        <v>1036</v>
      </c>
      <c r="L8" s="641" t="s">
        <v>1027</v>
      </c>
      <c r="M8" s="644" t="s">
        <v>1037</v>
      </c>
    </row>
    <row r="9" spans="1:14" ht="15.75" customHeight="1">
      <c r="A9" s="1315" t="s">
        <v>1038</v>
      </c>
      <c r="B9" s="1319" t="s">
        <v>1039</v>
      </c>
      <c r="C9" s="1304">
        <v>184</v>
      </c>
      <c r="D9" s="1305">
        <v>2891</v>
      </c>
      <c r="E9" s="1304">
        <v>2068</v>
      </c>
      <c r="F9" s="612">
        <v>331</v>
      </c>
      <c r="G9" s="612">
        <v>211</v>
      </c>
      <c r="H9" s="1305">
        <v>281</v>
      </c>
      <c r="I9" s="1297">
        <v>0</v>
      </c>
      <c r="J9" s="612">
        <v>2068</v>
      </c>
      <c r="K9" s="613">
        <v>331</v>
      </c>
      <c r="L9" s="613">
        <v>281</v>
      </c>
      <c r="M9" s="614">
        <v>0</v>
      </c>
      <c r="N9" s="51">
        <f>L9-H9</f>
        <v>0</v>
      </c>
    </row>
    <row r="10" spans="1:14" ht="15.75" customHeight="1">
      <c r="A10" s="1316" t="s">
        <v>1040</v>
      </c>
      <c r="B10" s="1320" t="s">
        <v>1041</v>
      </c>
      <c r="C10" s="1306">
        <v>272</v>
      </c>
      <c r="D10" s="1307">
        <v>3598</v>
      </c>
      <c r="E10" s="1306">
        <v>1677</v>
      </c>
      <c r="F10" s="615">
        <v>1481</v>
      </c>
      <c r="G10" s="615">
        <v>274</v>
      </c>
      <c r="H10" s="1307">
        <v>166</v>
      </c>
      <c r="I10" s="1298">
        <v>0</v>
      </c>
      <c r="J10" s="615">
        <v>1677</v>
      </c>
      <c r="K10" s="616">
        <v>1481</v>
      </c>
      <c r="L10" s="616">
        <v>166</v>
      </c>
      <c r="M10" s="617">
        <v>0</v>
      </c>
      <c r="N10" s="51">
        <f aca="true" t="shared" si="0" ref="N10:N54">L10-H10</f>
        <v>0</v>
      </c>
    </row>
    <row r="11" spans="1:14" ht="15.75" customHeight="1">
      <c r="A11" s="1316" t="s">
        <v>1042</v>
      </c>
      <c r="B11" s="1320" t="s">
        <v>1043</v>
      </c>
      <c r="C11" s="1306">
        <v>287</v>
      </c>
      <c r="D11" s="1307">
        <v>5624</v>
      </c>
      <c r="E11" s="1306">
        <v>4195</v>
      </c>
      <c r="F11" s="615">
        <v>1044</v>
      </c>
      <c r="G11" s="615">
        <v>355</v>
      </c>
      <c r="H11" s="1307">
        <v>30</v>
      </c>
      <c r="I11" s="1298">
        <v>3</v>
      </c>
      <c r="J11" s="615">
        <v>4195</v>
      </c>
      <c r="K11" s="616">
        <v>1084</v>
      </c>
      <c r="L11" s="616">
        <v>30</v>
      </c>
      <c r="M11" s="617">
        <v>40</v>
      </c>
      <c r="N11" s="51">
        <f t="shared" si="0"/>
        <v>0</v>
      </c>
    </row>
    <row r="12" spans="1:14" ht="15.75" customHeight="1">
      <c r="A12" s="1316" t="s">
        <v>1044</v>
      </c>
      <c r="B12" s="1320" t="s">
        <v>1045</v>
      </c>
      <c r="C12" s="1306">
        <v>882</v>
      </c>
      <c r="D12" s="1307">
        <v>9072</v>
      </c>
      <c r="E12" s="1306">
        <v>5377</v>
      </c>
      <c r="F12" s="615">
        <v>2613</v>
      </c>
      <c r="G12" s="615">
        <v>926</v>
      </c>
      <c r="H12" s="1307">
        <v>156</v>
      </c>
      <c r="I12" s="1298">
        <v>40</v>
      </c>
      <c r="J12" s="615">
        <v>5377</v>
      </c>
      <c r="K12" s="616">
        <v>2661</v>
      </c>
      <c r="L12" s="616">
        <v>120</v>
      </c>
      <c r="M12" s="617">
        <v>48</v>
      </c>
      <c r="N12" s="51">
        <f t="shared" si="0"/>
        <v>-36</v>
      </c>
    </row>
    <row r="13" spans="1:14" ht="15.75" customHeight="1">
      <c r="A13" s="1316" t="s">
        <v>1046</v>
      </c>
      <c r="B13" s="1320" t="s">
        <v>1047</v>
      </c>
      <c r="C13" s="1306">
        <v>626</v>
      </c>
      <c r="D13" s="1307">
        <v>13870</v>
      </c>
      <c r="E13" s="1306">
        <v>11221</v>
      </c>
      <c r="F13" s="615">
        <v>1771</v>
      </c>
      <c r="G13" s="615">
        <v>608</v>
      </c>
      <c r="H13" s="1307">
        <v>270</v>
      </c>
      <c r="I13" s="1298">
        <v>0</v>
      </c>
      <c r="J13" s="615">
        <v>11221</v>
      </c>
      <c r="K13" s="616">
        <v>1930</v>
      </c>
      <c r="L13" s="616">
        <v>270</v>
      </c>
      <c r="M13" s="617">
        <v>159</v>
      </c>
      <c r="N13" s="51">
        <f t="shared" si="0"/>
        <v>0</v>
      </c>
    </row>
    <row r="14" spans="1:14" ht="15.75" customHeight="1">
      <c r="A14" s="1316" t="s">
        <v>1048</v>
      </c>
      <c r="B14" s="1320" t="s">
        <v>1049</v>
      </c>
      <c r="C14" s="1306">
        <v>279</v>
      </c>
      <c r="D14" s="1307">
        <v>5068</v>
      </c>
      <c r="E14" s="1306">
        <v>4191</v>
      </c>
      <c r="F14" s="615">
        <v>678</v>
      </c>
      <c r="G14" s="615">
        <v>199</v>
      </c>
      <c r="H14" s="1307">
        <v>0</v>
      </c>
      <c r="I14" s="1298">
        <v>15</v>
      </c>
      <c r="J14" s="615">
        <v>4191</v>
      </c>
      <c r="K14" s="616">
        <v>681</v>
      </c>
      <c r="L14" s="616">
        <v>0</v>
      </c>
      <c r="M14" s="617">
        <v>3</v>
      </c>
      <c r="N14" s="51">
        <f t="shared" si="0"/>
        <v>0</v>
      </c>
    </row>
    <row r="15" spans="1:14" ht="15.75" customHeight="1">
      <c r="A15" s="1316" t="s">
        <v>1050</v>
      </c>
      <c r="B15" s="1320" t="s">
        <v>1051</v>
      </c>
      <c r="C15" s="1306">
        <v>585</v>
      </c>
      <c r="D15" s="1307">
        <v>10813</v>
      </c>
      <c r="E15" s="1306">
        <v>5843</v>
      </c>
      <c r="F15" s="615">
        <v>3296</v>
      </c>
      <c r="G15" s="615">
        <v>468</v>
      </c>
      <c r="H15" s="1307">
        <v>1206</v>
      </c>
      <c r="I15" s="1298">
        <v>0</v>
      </c>
      <c r="J15" s="615">
        <v>5843</v>
      </c>
      <c r="K15" s="616">
        <v>3317</v>
      </c>
      <c r="L15" s="616">
        <v>0</v>
      </c>
      <c r="M15" s="617">
        <v>21</v>
      </c>
      <c r="N15" s="51">
        <f t="shared" si="0"/>
        <v>-1206</v>
      </c>
    </row>
    <row r="16" spans="1:14" ht="15.75" customHeight="1">
      <c r="A16" s="1316" t="s">
        <v>1052</v>
      </c>
      <c r="B16" s="1320" t="s">
        <v>1053</v>
      </c>
      <c r="C16" s="1306">
        <v>1053</v>
      </c>
      <c r="D16" s="1307">
        <v>16594</v>
      </c>
      <c r="E16" s="1306">
        <v>10848</v>
      </c>
      <c r="F16" s="615">
        <v>4271</v>
      </c>
      <c r="G16" s="615">
        <v>1075</v>
      </c>
      <c r="H16" s="1307">
        <v>400</v>
      </c>
      <c r="I16" s="1298">
        <v>150</v>
      </c>
      <c r="J16" s="615">
        <v>10848</v>
      </c>
      <c r="K16" s="616">
        <v>4475</v>
      </c>
      <c r="L16" s="616">
        <v>400</v>
      </c>
      <c r="M16" s="617">
        <v>204</v>
      </c>
      <c r="N16" s="51">
        <f t="shared" si="0"/>
        <v>0</v>
      </c>
    </row>
    <row r="17" spans="1:14" ht="15.75" customHeight="1">
      <c r="A17" s="1316" t="s">
        <v>1054</v>
      </c>
      <c r="B17" s="1320" t="s">
        <v>1055</v>
      </c>
      <c r="C17" s="1306">
        <v>1074</v>
      </c>
      <c r="D17" s="1307">
        <v>11237</v>
      </c>
      <c r="E17" s="1306">
        <v>8327</v>
      </c>
      <c r="F17" s="615">
        <v>1272</v>
      </c>
      <c r="G17" s="615">
        <v>1123</v>
      </c>
      <c r="H17" s="1307">
        <v>515</v>
      </c>
      <c r="I17" s="1298">
        <v>150</v>
      </c>
      <c r="J17" s="615">
        <v>8327</v>
      </c>
      <c r="K17" s="616">
        <v>1411</v>
      </c>
      <c r="L17" s="616">
        <v>515</v>
      </c>
      <c r="M17" s="617">
        <v>139</v>
      </c>
      <c r="N17" s="51">
        <f t="shared" si="0"/>
        <v>0</v>
      </c>
    </row>
    <row r="18" spans="1:14" ht="15.75" customHeight="1">
      <c r="A18" s="1316" t="s">
        <v>1056</v>
      </c>
      <c r="B18" s="1320" t="s">
        <v>1057</v>
      </c>
      <c r="C18" s="1306">
        <v>1816</v>
      </c>
      <c r="D18" s="1307">
        <v>16376</v>
      </c>
      <c r="E18" s="1306">
        <v>11433</v>
      </c>
      <c r="F18" s="615">
        <v>2723</v>
      </c>
      <c r="G18" s="615">
        <v>1782</v>
      </c>
      <c r="H18" s="1307">
        <v>438</v>
      </c>
      <c r="I18" s="1298">
        <v>110</v>
      </c>
      <c r="J18" s="615">
        <v>11433</v>
      </c>
      <c r="K18" s="616">
        <v>2825</v>
      </c>
      <c r="L18" s="616">
        <v>438</v>
      </c>
      <c r="M18" s="617">
        <v>102</v>
      </c>
      <c r="N18" s="51">
        <f t="shared" si="0"/>
        <v>0</v>
      </c>
    </row>
    <row r="19" spans="1:14" ht="15.75" customHeight="1">
      <c r="A19" s="1316" t="s">
        <v>1058</v>
      </c>
      <c r="B19" s="1320" t="s">
        <v>1059</v>
      </c>
      <c r="C19" s="1306">
        <v>1344</v>
      </c>
      <c r="D19" s="1307">
        <v>19369</v>
      </c>
      <c r="E19" s="1306">
        <v>14378</v>
      </c>
      <c r="F19" s="615">
        <v>3150</v>
      </c>
      <c r="G19" s="615">
        <v>1441</v>
      </c>
      <c r="H19" s="1307">
        <v>400</v>
      </c>
      <c r="I19" s="1298">
        <v>0</v>
      </c>
      <c r="J19" s="615">
        <v>14378</v>
      </c>
      <c r="K19" s="616">
        <v>3247</v>
      </c>
      <c r="L19" s="616">
        <v>400</v>
      </c>
      <c r="M19" s="617">
        <v>97</v>
      </c>
      <c r="N19" s="51">
        <f t="shared" si="0"/>
        <v>0</v>
      </c>
    </row>
    <row r="20" spans="1:14" ht="15.75" customHeight="1">
      <c r="A20" s="1316" t="s">
        <v>1060</v>
      </c>
      <c r="B20" s="1320" t="s">
        <v>1061</v>
      </c>
      <c r="C20" s="1306">
        <v>1136</v>
      </c>
      <c r="D20" s="1307">
        <v>21260</v>
      </c>
      <c r="E20" s="1306">
        <v>16619</v>
      </c>
      <c r="F20" s="615">
        <v>3369</v>
      </c>
      <c r="G20" s="615">
        <v>1115</v>
      </c>
      <c r="H20" s="1307">
        <v>157</v>
      </c>
      <c r="I20" s="1298">
        <v>60</v>
      </c>
      <c r="J20" s="615">
        <v>16619</v>
      </c>
      <c r="K20" s="616">
        <v>3439</v>
      </c>
      <c r="L20" s="616">
        <v>157</v>
      </c>
      <c r="M20" s="617">
        <v>70</v>
      </c>
      <c r="N20" s="51">
        <f t="shared" si="0"/>
        <v>0</v>
      </c>
    </row>
    <row r="21" spans="1:14" ht="15.75" customHeight="1">
      <c r="A21" s="1316" t="s">
        <v>1062</v>
      </c>
      <c r="B21" s="1320" t="s">
        <v>1063</v>
      </c>
      <c r="C21" s="1306">
        <v>1195</v>
      </c>
      <c r="D21" s="1307">
        <v>24625</v>
      </c>
      <c r="E21" s="1306">
        <v>17158</v>
      </c>
      <c r="F21" s="615">
        <v>5914</v>
      </c>
      <c r="G21" s="615">
        <v>1079</v>
      </c>
      <c r="H21" s="1307">
        <v>474</v>
      </c>
      <c r="I21" s="1298">
        <v>20</v>
      </c>
      <c r="J21" s="615">
        <v>17158</v>
      </c>
      <c r="K21" s="616">
        <v>5947</v>
      </c>
      <c r="L21" s="616">
        <v>474</v>
      </c>
      <c r="M21" s="617">
        <v>33</v>
      </c>
      <c r="N21" s="51">
        <f t="shared" si="0"/>
        <v>0</v>
      </c>
    </row>
    <row r="22" spans="1:14" ht="15.75" customHeight="1">
      <c r="A22" s="1316" t="s">
        <v>1064</v>
      </c>
      <c r="B22" s="1320" t="s">
        <v>1065</v>
      </c>
      <c r="C22" s="1306">
        <v>1468</v>
      </c>
      <c r="D22" s="1307">
        <v>26089</v>
      </c>
      <c r="E22" s="1306">
        <v>17328</v>
      </c>
      <c r="F22" s="615">
        <v>3761</v>
      </c>
      <c r="G22" s="615">
        <v>1284</v>
      </c>
      <c r="H22" s="1307">
        <v>3716</v>
      </c>
      <c r="I22" s="1298">
        <v>20</v>
      </c>
      <c r="J22" s="615">
        <v>17328</v>
      </c>
      <c r="K22" s="616">
        <v>3789</v>
      </c>
      <c r="L22" s="616">
        <v>3716</v>
      </c>
      <c r="M22" s="617">
        <v>28</v>
      </c>
      <c r="N22" s="51">
        <f t="shared" si="0"/>
        <v>0</v>
      </c>
    </row>
    <row r="23" spans="1:14" ht="15.75" customHeight="1">
      <c r="A23" s="1316" t="s">
        <v>1066</v>
      </c>
      <c r="B23" s="1320" t="s">
        <v>1067</v>
      </c>
      <c r="C23" s="1306">
        <v>1067</v>
      </c>
      <c r="D23" s="1307">
        <v>28393</v>
      </c>
      <c r="E23" s="1306">
        <v>21094</v>
      </c>
      <c r="F23" s="615">
        <v>3923</v>
      </c>
      <c r="G23" s="615">
        <v>982</v>
      </c>
      <c r="H23" s="1307">
        <v>2394</v>
      </c>
      <c r="I23" s="1298">
        <v>70</v>
      </c>
      <c r="J23" s="615">
        <v>21094</v>
      </c>
      <c r="K23" s="616">
        <v>4065</v>
      </c>
      <c r="L23" s="616">
        <v>2394</v>
      </c>
      <c r="M23" s="617">
        <v>142</v>
      </c>
      <c r="N23" s="51">
        <f t="shared" si="0"/>
        <v>0</v>
      </c>
    </row>
    <row r="24" spans="1:14" ht="15.75" customHeight="1">
      <c r="A24" s="1316" t="s">
        <v>1068</v>
      </c>
      <c r="B24" s="1320" t="s">
        <v>1069</v>
      </c>
      <c r="C24" s="1306">
        <v>1044</v>
      </c>
      <c r="D24" s="1307">
        <v>21589</v>
      </c>
      <c r="E24" s="1306">
        <v>17286</v>
      </c>
      <c r="F24" s="615">
        <v>2932</v>
      </c>
      <c r="G24" s="615">
        <v>1021</v>
      </c>
      <c r="H24" s="1307">
        <v>350</v>
      </c>
      <c r="I24" s="1298">
        <v>60</v>
      </c>
      <c r="J24" s="615">
        <v>17286</v>
      </c>
      <c r="K24" s="616">
        <v>3165</v>
      </c>
      <c r="L24" s="616">
        <v>350</v>
      </c>
      <c r="M24" s="617">
        <v>233</v>
      </c>
      <c r="N24" s="51">
        <f t="shared" si="0"/>
        <v>0</v>
      </c>
    </row>
    <row r="25" spans="1:14" ht="15.75" customHeight="1">
      <c r="A25" s="1316" t="s">
        <v>1070</v>
      </c>
      <c r="B25" s="1320" t="s">
        <v>1071</v>
      </c>
      <c r="C25" s="1306">
        <v>845</v>
      </c>
      <c r="D25" s="1307">
        <v>23620</v>
      </c>
      <c r="E25" s="1306">
        <v>19519</v>
      </c>
      <c r="F25" s="615">
        <v>2804</v>
      </c>
      <c r="G25" s="615">
        <v>837</v>
      </c>
      <c r="H25" s="1307">
        <v>460</v>
      </c>
      <c r="I25" s="1298">
        <v>150</v>
      </c>
      <c r="J25" s="615">
        <v>19519</v>
      </c>
      <c r="K25" s="616">
        <v>2977</v>
      </c>
      <c r="L25" s="616">
        <v>460</v>
      </c>
      <c r="M25" s="617">
        <v>173</v>
      </c>
      <c r="N25" s="51">
        <f t="shared" si="0"/>
        <v>0</v>
      </c>
    </row>
    <row r="26" spans="1:14" ht="15.75" customHeight="1">
      <c r="A26" s="1316" t="s">
        <v>1072</v>
      </c>
      <c r="B26" s="1320" t="s">
        <v>1073</v>
      </c>
      <c r="C26" s="1306">
        <v>1821</v>
      </c>
      <c r="D26" s="1307">
        <v>26552</v>
      </c>
      <c r="E26" s="1306">
        <v>19795</v>
      </c>
      <c r="F26" s="615">
        <v>3222</v>
      </c>
      <c r="G26" s="615">
        <v>1121</v>
      </c>
      <c r="H26" s="1307">
        <v>2414</v>
      </c>
      <c r="I26" s="1298">
        <v>235</v>
      </c>
      <c r="J26" s="615">
        <v>19795</v>
      </c>
      <c r="K26" s="616">
        <v>3371</v>
      </c>
      <c r="L26" s="616">
        <v>1814</v>
      </c>
      <c r="M26" s="617">
        <v>149</v>
      </c>
      <c r="N26" s="485">
        <f t="shared" si="0"/>
        <v>-600</v>
      </c>
    </row>
    <row r="27" spans="1:14" ht="15.75" customHeight="1">
      <c r="A27" s="1317" t="s">
        <v>1074</v>
      </c>
      <c r="B27" s="1321" t="s">
        <v>1075</v>
      </c>
      <c r="C27" s="1308">
        <v>2198</v>
      </c>
      <c r="D27" s="1309">
        <v>17541</v>
      </c>
      <c r="E27" s="1308">
        <v>0</v>
      </c>
      <c r="F27" s="618">
        <v>16612</v>
      </c>
      <c r="G27" s="618">
        <v>929</v>
      </c>
      <c r="H27" s="1309">
        <v>0</v>
      </c>
      <c r="I27" s="1299">
        <v>45</v>
      </c>
      <c r="J27" s="618">
        <v>0</v>
      </c>
      <c r="K27" s="619">
        <v>16656</v>
      </c>
      <c r="L27" s="619">
        <v>0</v>
      </c>
      <c r="M27" s="617">
        <v>44</v>
      </c>
      <c r="N27" s="51">
        <f t="shared" si="0"/>
        <v>0</v>
      </c>
    </row>
    <row r="28" spans="1:14" ht="15.75" customHeight="1">
      <c r="A28" s="1316" t="s">
        <v>1076</v>
      </c>
      <c r="B28" s="1320" t="s">
        <v>1067</v>
      </c>
      <c r="C28" s="1306">
        <v>1247</v>
      </c>
      <c r="D28" s="1307">
        <v>11801</v>
      </c>
      <c r="E28" s="1306">
        <v>0</v>
      </c>
      <c r="F28" s="615">
        <v>9992</v>
      </c>
      <c r="G28" s="615">
        <v>1104</v>
      </c>
      <c r="H28" s="1307">
        <v>705</v>
      </c>
      <c r="I28" s="1298">
        <v>0</v>
      </c>
      <c r="J28" s="615">
        <v>0</v>
      </c>
      <c r="K28" s="616">
        <v>9994</v>
      </c>
      <c r="L28" s="616">
        <v>706</v>
      </c>
      <c r="M28" s="617">
        <v>2</v>
      </c>
      <c r="N28" s="51">
        <f t="shared" si="0"/>
        <v>1</v>
      </c>
    </row>
    <row r="29" spans="1:14" ht="15.75" customHeight="1">
      <c r="A29" s="1316" t="s">
        <v>1077</v>
      </c>
      <c r="B29" s="1320" t="s">
        <v>1069</v>
      </c>
      <c r="C29" s="1306">
        <v>644</v>
      </c>
      <c r="D29" s="1307">
        <v>5421</v>
      </c>
      <c r="E29" s="1306">
        <v>0</v>
      </c>
      <c r="F29" s="615">
        <v>4732</v>
      </c>
      <c r="G29" s="615">
        <v>604</v>
      </c>
      <c r="H29" s="1307">
        <v>85</v>
      </c>
      <c r="I29" s="1298">
        <v>0</v>
      </c>
      <c r="J29" s="615">
        <v>0</v>
      </c>
      <c r="K29" s="616">
        <v>4734</v>
      </c>
      <c r="L29" s="616">
        <v>85</v>
      </c>
      <c r="M29" s="617">
        <v>2</v>
      </c>
      <c r="N29" s="51">
        <f t="shared" si="0"/>
        <v>0</v>
      </c>
    </row>
    <row r="30" spans="1:14" ht="15.75" customHeight="1">
      <c r="A30" s="1317" t="s">
        <v>1078</v>
      </c>
      <c r="B30" s="1321" t="s">
        <v>1079</v>
      </c>
      <c r="C30" s="1308">
        <v>1816</v>
      </c>
      <c r="D30" s="1309">
        <v>12079</v>
      </c>
      <c r="E30" s="1308">
        <v>129</v>
      </c>
      <c r="F30" s="618">
        <v>10268</v>
      </c>
      <c r="G30" s="618">
        <v>1682</v>
      </c>
      <c r="H30" s="1309">
        <v>0</v>
      </c>
      <c r="I30" s="1299">
        <v>145</v>
      </c>
      <c r="J30" s="618">
        <v>129</v>
      </c>
      <c r="K30" s="619">
        <v>10424</v>
      </c>
      <c r="L30" s="619">
        <v>0</v>
      </c>
      <c r="M30" s="617">
        <v>156</v>
      </c>
      <c r="N30" s="51">
        <f t="shared" si="0"/>
        <v>0</v>
      </c>
    </row>
    <row r="31" spans="1:14" ht="15.75" customHeight="1">
      <c r="A31" s="1316" t="s">
        <v>1080</v>
      </c>
      <c r="B31" s="1320" t="s">
        <v>1081</v>
      </c>
      <c r="C31" s="1306">
        <v>654</v>
      </c>
      <c r="D31" s="1307">
        <v>4628</v>
      </c>
      <c r="E31" s="1306">
        <v>0</v>
      </c>
      <c r="F31" s="615">
        <v>4148</v>
      </c>
      <c r="G31" s="615">
        <v>333</v>
      </c>
      <c r="H31" s="1307">
        <v>147</v>
      </c>
      <c r="I31" s="1298">
        <v>20</v>
      </c>
      <c r="J31" s="615">
        <v>0</v>
      </c>
      <c r="K31" s="616">
        <v>4176</v>
      </c>
      <c r="L31" s="616">
        <v>147</v>
      </c>
      <c r="M31" s="617">
        <v>28</v>
      </c>
      <c r="N31" s="51">
        <f t="shared" si="0"/>
        <v>0</v>
      </c>
    </row>
    <row r="32" spans="1:14" ht="15.75" customHeight="1">
      <c r="A32" s="1317" t="s">
        <v>1082</v>
      </c>
      <c r="B32" s="1321" t="s">
        <v>1126</v>
      </c>
      <c r="C32" s="1310">
        <v>371</v>
      </c>
      <c r="D32" s="1309">
        <v>3202</v>
      </c>
      <c r="E32" s="1308">
        <v>7</v>
      </c>
      <c r="F32" s="618">
        <v>2788</v>
      </c>
      <c r="G32" s="618">
        <v>322</v>
      </c>
      <c r="H32" s="1309">
        <v>85</v>
      </c>
      <c r="I32" s="1299">
        <v>0</v>
      </c>
      <c r="J32" s="618">
        <v>7</v>
      </c>
      <c r="K32" s="619">
        <v>2788</v>
      </c>
      <c r="L32" s="619">
        <v>85</v>
      </c>
      <c r="M32" s="617">
        <v>0</v>
      </c>
      <c r="N32" s="51">
        <f t="shared" si="0"/>
        <v>0</v>
      </c>
    </row>
    <row r="33" spans="1:14" ht="15.75" customHeight="1">
      <c r="A33" s="1316" t="s">
        <v>1083</v>
      </c>
      <c r="B33" s="1320" t="s">
        <v>1084</v>
      </c>
      <c r="C33" s="1306">
        <v>233</v>
      </c>
      <c r="D33" s="1307">
        <v>2356</v>
      </c>
      <c r="E33" s="1306">
        <v>0</v>
      </c>
      <c r="F33" s="615">
        <v>2112</v>
      </c>
      <c r="G33" s="615">
        <v>161</v>
      </c>
      <c r="H33" s="1307">
        <v>83</v>
      </c>
      <c r="I33" s="1298">
        <v>3</v>
      </c>
      <c r="J33" s="615">
        <v>0</v>
      </c>
      <c r="K33" s="616">
        <v>2116</v>
      </c>
      <c r="L33" s="616">
        <v>83</v>
      </c>
      <c r="M33" s="617">
        <v>4</v>
      </c>
      <c r="N33" s="51">
        <f t="shared" si="0"/>
        <v>0</v>
      </c>
    </row>
    <row r="34" spans="1:14" ht="15.75" customHeight="1">
      <c r="A34" s="1316" t="s">
        <v>1085</v>
      </c>
      <c r="B34" s="1320" t="s">
        <v>1086</v>
      </c>
      <c r="C34" s="1306">
        <v>191</v>
      </c>
      <c r="D34" s="1307">
        <v>1863</v>
      </c>
      <c r="E34" s="1306">
        <v>9</v>
      </c>
      <c r="F34" s="615">
        <v>1695</v>
      </c>
      <c r="G34" s="615">
        <v>159</v>
      </c>
      <c r="H34" s="1307">
        <v>0</v>
      </c>
      <c r="I34" s="1298">
        <v>0</v>
      </c>
      <c r="J34" s="615">
        <v>9</v>
      </c>
      <c r="K34" s="616">
        <v>1695</v>
      </c>
      <c r="L34" s="616">
        <v>0</v>
      </c>
      <c r="M34" s="617">
        <v>0</v>
      </c>
      <c r="N34" s="51">
        <f t="shared" si="0"/>
        <v>0</v>
      </c>
    </row>
    <row r="35" spans="1:14" ht="15.75" customHeight="1">
      <c r="A35" s="1316" t="s">
        <v>1087</v>
      </c>
      <c r="B35" s="1320" t="s">
        <v>1088</v>
      </c>
      <c r="C35" s="1306">
        <v>81</v>
      </c>
      <c r="D35" s="1307">
        <v>1115</v>
      </c>
      <c r="E35" s="1306">
        <v>0</v>
      </c>
      <c r="F35" s="615">
        <v>1046</v>
      </c>
      <c r="G35" s="615">
        <v>69</v>
      </c>
      <c r="H35" s="1307">
        <v>0</v>
      </c>
      <c r="I35" s="1298">
        <v>0</v>
      </c>
      <c r="J35" s="615">
        <v>0</v>
      </c>
      <c r="K35" s="616">
        <v>1046</v>
      </c>
      <c r="L35" s="616">
        <v>0</v>
      </c>
      <c r="M35" s="617">
        <v>0</v>
      </c>
      <c r="N35" s="51">
        <f t="shared" si="0"/>
        <v>0</v>
      </c>
    </row>
    <row r="36" spans="1:14" ht="15.75" customHeight="1">
      <c r="A36" s="1316" t="s">
        <v>1089</v>
      </c>
      <c r="B36" s="1320" t="s">
        <v>1090</v>
      </c>
      <c r="C36" s="1306">
        <v>236</v>
      </c>
      <c r="D36" s="1307">
        <v>2228</v>
      </c>
      <c r="E36" s="1306">
        <v>6</v>
      </c>
      <c r="F36" s="615">
        <v>1997</v>
      </c>
      <c r="G36" s="615">
        <v>225</v>
      </c>
      <c r="H36" s="1307">
        <v>0</v>
      </c>
      <c r="I36" s="1298">
        <v>0</v>
      </c>
      <c r="J36" s="615">
        <v>6</v>
      </c>
      <c r="K36" s="616">
        <v>1998</v>
      </c>
      <c r="L36" s="616">
        <v>0</v>
      </c>
      <c r="M36" s="617">
        <v>1</v>
      </c>
      <c r="N36" s="51">
        <f t="shared" si="0"/>
        <v>0</v>
      </c>
    </row>
    <row r="37" spans="1:14" ht="15.75" customHeight="1">
      <c r="A37" s="1316" t="s">
        <v>1091</v>
      </c>
      <c r="B37" s="1320" t="s">
        <v>1092</v>
      </c>
      <c r="C37" s="1306">
        <v>149</v>
      </c>
      <c r="D37" s="1307">
        <v>1347</v>
      </c>
      <c r="E37" s="1306">
        <v>4</v>
      </c>
      <c r="F37" s="615">
        <v>1190</v>
      </c>
      <c r="G37" s="615">
        <v>153</v>
      </c>
      <c r="H37" s="1307">
        <v>0</v>
      </c>
      <c r="I37" s="1298">
        <v>28</v>
      </c>
      <c r="J37" s="615">
        <v>4</v>
      </c>
      <c r="K37" s="616">
        <v>1219</v>
      </c>
      <c r="L37" s="616">
        <v>0</v>
      </c>
      <c r="M37" s="617">
        <v>29</v>
      </c>
      <c r="N37" s="51">
        <f t="shared" si="0"/>
        <v>0</v>
      </c>
    </row>
    <row r="38" spans="1:14" ht="15.75" customHeight="1">
      <c r="A38" s="1316" t="s">
        <v>1093</v>
      </c>
      <c r="B38" s="1320" t="s">
        <v>1094</v>
      </c>
      <c r="C38" s="1306">
        <v>142</v>
      </c>
      <c r="D38" s="1307">
        <v>1705</v>
      </c>
      <c r="E38" s="1306">
        <v>0</v>
      </c>
      <c r="F38" s="615">
        <v>1341</v>
      </c>
      <c r="G38" s="615">
        <v>166</v>
      </c>
      <c r="H38" s="1307">
        <v>198</v>
      </c>
      <c r="I38" s="1298">
        <v>3</v>
      </c>
      <c r="J38" s="615">
        <v>0</v>
      </c>
      <c r="K38" s="616">
        <v>1341</v>
      </c>
      <c r="L38" s="616">
        <v>198</v>
      </c>
      <c r="M38" s="617">
        <v>0</v>
      </c>
      <c r="N38" s="51">
        <f t="shared" si="0"/>
        <v>0</v>
      </c>
    </row>
    <row r="39" spans="1:14" ht="15.75" customHeight="1">
      <c r="A39" s="1316" t="s">
        <v>1095</v>
      </c>
      <c r="B39" s="1320" t="s">
        <v>1096</v>
      </c>
      <c r="C39" s="1306">
        <v>608</v>
      </c>
      <c r="D39" s="1307">
        <v>4098</v>
      </c>
      <c r="E39" s="1306">
        <v>1</v>
      </c>
      <c r="F39" s="615">
        <v>3679</v>
      </c>
      <c r="G39" s="615">
        <v>352</v>
      </c>
      <c r="H39" s="1307">
        <v>66</v>
      </c>
      <c r="I39" s="1298">
        <v>10</v>
      </c>
      <c r="J39" s="615">
        <v>1</v>
      </c>
      <c r="K39" s="616">
        <v>3683</v>
      </c>
      <c r="L39" s="616">
        <v>66</v>
      </c>
      <c r="M39" s="617">
        <v>3</v>
      </c>
      <c r="N39" s="51">
        <f t="shared" si="0"/>
        <v>0</v>
      </c>
    </row>
    <row r="40" spans="1:14" ht="15.75" customHeight="1">
      <c r="A40" s="1316" t="s">
        <v>1097</v>
      </c>
      <c r="B40" s="1320" t="s">
        <v>1098</v>
      </c>
      <c r="C40" s="1306">
        <v>205</v>
      </c>
      <c r="D40" s="1307">
        <v>2071</v>
      </c>
      <c r="E40" s="1306">
        <v>0</v>
      </c>
      <c r="F40" s="615">
        <v>1811</v>
      </c>
      <c r="G40" s="615">
        <v>260</v>
      </c>
      <c r="H40" s="1307">
        <v>0</v>
      </c>
      <c r="I40" s="1298">
        <v>10</v>
      </c>
      <c r="J40" s="615">
        <v>0</v>
      </c>
      <c r="K40" s="616">
        <v>1815</v>
      </c>
      <c r="L40" s="616">
        <v>0</v>
      </c>
      <c r="M40" s="617">
        <v>4</v>
      </c>
      <c r="N40" s="51">
        <f t="shared" si="0"/>
        <v>0</v>
      </c>
    </row>
    <row r="41" spans="1:14" ht="15.75" customHeight="1">
      <c r="A41" s="1316" t="s">
        <v>1099</v>
      </c>
      <c r="B41" s="1320" t="s">
        <v>1100</v>
      </c>
      <c r="C41" s="1306">
        <v>572</v>
      </c>
      <c r="D41" s="1307">
        <v>3424</v>
      </c>
      <c r="E41" s="1306">
        <v>5</v>
      </c>
      <c r="F41" s="615">
        <v>2938</v>
      </c>
      <c r="G41" s="615">
        <v>393</v>
      </c>
      <c r="H41" s="1307">
        <v>88</v>
      </c>
      <c r="I41" s="1298">
        <v>0</v>
      </c>
      <c r="J41" s="615">
        <v>5</v>
      </c>
      <c r="K41" s="616">
        <v>2938</v>
      </c>
      <c r="L41" s="616">
        <v>88</v>
      </c>
      <c r="M41" s="617">
        <v>0</v>
      </c>
      <c r="N41" s="51">
        <f t="shared" si="0"/>
        <v>0</v>
      </c>
    </row>
    <row r="42" spans="1:14" ht="15.75" customHeight="1">
      <c r="A42" s="1316" t="s">
        <v>1101</v>
      </c>
      <c r="B42" s="1320" t="s">
        <v>1102</v>
      </c>
      <c r="C42" s="1306">
        <v>539</v>
      </c>
      <c r="D42" s="1307">
        <v>4387</v>
      </c>
      <c r="E42" s="1306">
        <v>9</v>
      </c>
      <c r="F42" s="615">
        <v>3986</v>
      </c>
      <c r="G42" s="615">
        <v>301</v>
      </c>
      <c r="H42" s="1307">
        <v>91</v>
      </c>
      <c r="I42" s="1298">
        <v>0</v>
      </c>
      <c r="J42" s="615">
        <v>9</v>
      </c>
      <c r="K42" s="616">
        <v>3986</v>
      </c>
      <c r="L42" s="616">
        <v>91</v>
      </c>
      <c r="M42" s="617">
        <v>0</v>
      </c>
      <c r="N42" s="51">
        <f t="shared" si="0"/>
        <v>0</v>
      </c>
    </row>
    <row r="43" spans="1:14" ht="15.75" customHeight="1">
      <c r="A43" s="1316" t="s">
        <v>1103</v>
      </c>
      <c r="B43" s="1320" t="s">
        <v>1104</v>
      </c>
      <c r="C43" s="1306">
        <v>700</v>
      </c>
      <c r="D43" s="1307">
        <v>5547</v>
      </c>
      <c r="E43" s="1306">
        <v>4</v>
      </c>
      <c r="F43" s="615">
        <v>4813</v>
      </c>
      <c r="G43" s="615">
        <v>545</v>
      </c>
      <c r="H43" s="1307">
        <v>185</v>
      </c>
      <c r="I43" s="1298">
        <v>3</v>
      </c>
      <c r="J43" s="615">
        <v>4</v>
      </c>
      <c r="K43" s="616">
        <v>4814</v>
      </c>
      <c r="L43" s="616">
        <v>185</v>
      </c>
      <c r="M43" s="617">
        <v>1</v>
      </c>
      <c r="N43" s="51">
        <f t="shared" si="0"/>
        <v>0</v>
      </c>
    </row>
    <row r="44" spans="1:14" ht="15.75" customHeight="1">
      <c r="A44" s="1316" t="s">
        <v>1105</v>
      </c>
      <c r="B44" s="1320" t="s">
        <v>1106</v>
      </c>
      <c r="C44" s="1306">
        <v>78</v>
      </c>
      <c r="D44" s="1307">
        <v>1080</v>
      </c>
      <c r="E44" s="1306">
        <v>0</v>
      </c>
      <c r="F44" s="615">
        <v>1004</v>
      </c>
      <c r="G44" s="615">
        <v>76</v>
      </c>
      <c r="H44" s="1307">
        <v>0</v>
      </c>
      <c r="I44" s="1298">
        <v>0</v>
      </c>
      <c r="J44" s="615">
        <v>0</v>
      </c>
      <c r="K44" s="616">
        <v>1536</v>
      </c>
      <c r="L44" s="616">
        <v>0</v>
      </c>
      <c r="M44" s="617">
        <v>0</v>
      </c>
      <c r="N44" s="51">
        <f t="shared" si="0"/>
        <v>0</v>
      </c>
    </row>
    <row r="45" spans="1:14" ht="15.75" customHeight="1">
      <c r="A45" s="1316" t="s">
        <v>1107</v>
      </c>
      <c r="B45" s="1320" t="s">
        <v>1108</v>
      </c>
      <c r="C45" s="1306">
        <v>592</v>
      </c>
      <c r="D45" s="1307">
        <v>3376</v>
      </c>
      <c r="E45" s="1306">
        <v>4</v>
      </c>
      <c r="F45" s="615">
        <v>2802</v>
      </c>
      <c r="G45" s="615">
        <v>453</v>
      </c>
      <c r="H45" s="1307">
        <v>117</v>
      </c>
      <c r="I45" s="1298">
        <v>3</v>
      </c>
      <c r="J45" s="615">
        <v>4</v>
      </c>
      <c r="K45" s="616">
        <v>2803</v>
      </c>
      <c r="L45" s="616">
        <v>117</v>
      </c>
      <c r="M45" s="617">
        <v>1</v>
      </c>
      <c r="N45" s="51">
        <f t="shared" si="0"/>
        <v>0</v>
      </c>
    </row>
    <row r="46" spans="1:14" ht="15.75" customHeight="1">
      <c r="A46" s="1316" t="s">
        <v>1109</v>
      </c>
      <c r="B46" s="1320" t="s">
        <v>1110</v>
      </c>
      <c r="C46" s="1306">
        <v>1070</v>
      </c>
      <c r="D46" s="1307">
        <v>7851</v>
      </c>
      <c r="E46" s="1306">
        <v>10</v>
      </c>
      <c r="F46" s="615">
        <v>6975</v>
      </c>
      <c r="G46" s="615">
        <v>800</v>
      </c>
      <c r="H46" s="1307">
        <v>66</v>
      </c>
      <c r="I46" s="1298">
        <v>44</v>
      </c>
      <c r="J46" s="615">
        <v>10</v>
      </c>
      <c r="K46" s="616">
        <v>6998</v>
      </c>
      <c r="L46" s="616">
        <v>66</v>
      </c>
      <c r="M46" s="617">
        <v>23</v>
      </c>
      <c r="N46" s="51">
        <f t="shared" si="0"/>
        <v>0</v>
      </c>
    </row>
    <row r="47" spans="1:14" ht="15.75" customHeight="1">
      <c r="A47" s="1316" t="s">
        <v>1111</v>
      </c>
      <c r="B47" s="1320" t="s">
        <v>1112</v>
      </c>
      <c r="C47" s="1306">
        <v>993</v>
      </c>
      <c r="D47" s="1307">
        <v>6537</v>
      </c>
      <c r="E47" s="1306">
        <v>101</v>
      </c>
      <c r="F47" s="615">
        <v>5237</v>
      </c>
      <c r="G47" s="615">
        <v>630</v>
      </c>
      <c r="H47" s="1307">
        <v>569</v>
      </c>
      <c r="I47" s="1298">
        <v>190</v>
      </c>
      <c r="J47" s="615">
        <v>101</v>
      </c>
      <c r="K47" s="616">
        <v>5463</v>
      </c>
      <c r="L47" s="616">
        <v>569</v>
      </c>
      <c r="M47" s="617">
        <v>226</v>
      </c>
      <c r="N47" s="51">
        <f t="shared" si="0"/>
        <v>0</v>
      </c>
    </row>
    <row r="48" spans="1:14" ht="15.75" customHeight="1">
      <c r="A48" s="1316" t="s">
        <v>1113</v>
      </c>
      <c r="B48" s="1320" t="s">
        <v>1114</v>
      </c>
      <c r="C48" s="1306">
        <v>559</v>
      </c>
      <c r="D48" s="1307">
        <v>4303</v>
      </c>
      <c r="E48" s="1306">
        <v>5</v>
      </c>
      <c r="F48" s="615">
        <v>3749</v>
      </c>
      <c r="G48" s="615">
        <v>359</v>
      </c>
      <c r="H48" s="1307">
        <v>190</v>
      </c>
      <c r="I48" s="1298">
        <v>2</v>
      </c>
      <c r="J48" s="615">
        <v>5</v>
      </c>
      <c r="K48" s="616">
        <v>3751</v>
      </c>
      <c r="L48" s="616">
        <v>190</v>
      </c>
      <c r="M48" s="617">
        <v>2</v>
      </c>
      <c r="N48" s="51">
        <f t="shared" si="0"/>
        <v>0</v>
      </c>
    </row>
    <row r="49" spans="1:14" ht="15.75" customHeight="1">
      <c r="A49" s="1316" t="s">
        <v>1115</v>
      </c>
      <c r="B49" s="1320" t="s">
        <v>1116</v>
      </c>
      <c r="C49" s="1306">
        <v>820</v>
      </c>
      <c r="D49" s="1307">
        <v>4420</v>
      </c>
      <c r="E49" s="1306">
        <v>6</v>
      </c>
      <c r="F49" s="615">
        <v>3705</v>
      </c>
      <c r="G49" s="615">
        <v>709</v>
      </c>
      <c r="H49" s="1307">
        <v>0</v>
      </c>
      <c r="I49" s="1298">
        <v>114</v>
      </c>
      <c r="J49" s="615">
        <v>6</v>
      </c>
      <c r="K49" s="616">
        <v>3859</v>
      </c>
      <c r="L49" s="616">
        <v>0</v>
      </c>
      <c r="M49" s="617">
        <v>154</v>
      </c>
      <c r="N49" s="51">
        <f t="shared" si="0"/>
        <v>0</v>
      </c>
    </row>
    <row r="50" spans="1:14" ht="15.75" customHeight="1">
      <c r="A50" s="1316" t="s">
        <v>1117</v>
      </c>
      <c r="B50" s="1320" t="s">
        <v>1118</v>
      </c>
      <c r="C50" s="1306">
        <v>651</v>
      </c>
      <c r="D50" s="1307">
        <v>4547</v>
      </c>
      <c r="E50" s="1306">
        <v>4</v>
      </c>
      <c r="F50" s="615">
        <v>3993</v>
      </c>
      <c r="G50" s="615">
        <v>550</v>
      </c>
      <c r="H50" s="1307">
        <v>0</v>
      </c>
      <c r="I50" s="1298">
        <v>0</v>
      </c>
      <c r="J50" s="615">
        <v>4</v>
      </c>
      <c r="K50" s="616">
        <v>3994</v>
      </c>
      <c r="L50" s="616">
        <v>0</v>
      </c>
      <c r="M50" s="617">
        <v>1</v>
      </c>
      <c r="N50" s="51">
        <f t="shared" si="0"/>
        <v>0</v>
      </c>
    </row>
    <row r="51" spans="1:14" ht="15.75" customHeight="1">
      <c r="A51" s="1316" t="s">
        <v>1119</v>
      </c>
      <c r="B51" s="1320" t="s">
        <v>1120</v>
      </c>
      <c r="C51" s="1306">
        <v>753</v>
      </c>
      <c r="D51" s="1307">
        <v>4969</v>
      </c>
      <c r="E51" s="1306">
        <v>9</v>
      </c>
      <c r="F51" s="615">
        <v>4370</v>
      </c>
      <c r="G51" s="615">
        <v>590</v>
      </c>
      <c r="H51" s="1307">
        <v>0</v>
      </c>
      <c r="I51" s="1298">
        <v>0</v>
      </c>
      <c r="J51" s="615">
        <v>9</v>
      </c>
      <c r="K51" s="616">
        <v>4371</v>
      </c>
      <c r="L51" s="616">
        <v>0</v>
      </c>
      <c r="M51" s="617">
        <v>1</v>
      </c>
      <c r="N51" s="51">
        <f t="shared" si="0"/>
        <v>0</v>
      </c>
    </row>
    <row r="52" spans="1:14" ht="15.75" customHeight="1">
      <c r="A52" s="1316" t="s">
        <v>1121</v>
      </c>
      <c r="B52" s="1320" t="s">
        <v>1122</v>
      </c>
      <c r="C52" s="1306">
        <v>1036</v>
      </c>
      <c r="D52" s="1307">
        <v>5660</v>
      </c>
      <c r="E52" s="1306">
        <v>3</v>
      </c>
      <c r="F52" s="615">
        <v>4699</v>
      </c>
      <c r="G52" s="615">
        <v>782</v>
      </c>
      <c r="H52" s="1307">
        <v>176</v>
      </c>
      <c r="I52" s="1298">
        <v>270</v>
      </c>
      <c r="J52" s="615">
        <v>3</v>
      </c>
      <c r="K52" s="616">
        <v>5076</v>
      </c>
      <c r="L52" s="616">
        <v>176</v>
      </c>
      <c r="M52" s="617">
        <v>377</v>
      </c>
      <c r="N52" s="51">
        <f t="shared" si="0"/>
        <v>0</v>
      </c>
    </row>
    <row r="53" spans="1:14" ht="15.75" customHeight="1">
      <c r="A53" s="1316" t="s">
        <v>1123</v>
      </c>
      <c r="B53" s="1320" t="s">
        <v>1124</v>
      </c>
      <c r="C53" s="1306">
        <v>767</v>
      </c>
      <c r="D53" s="1307">
        <v>6520</v>
      </c>
      <c r="E53" s="1306">
        <v>5</v>
      </c>
      <c r="F53" s="615">
        <v>5788</v>
      </c>
      <c r="G53" s="615">
        <v>610</v>
      </c>
      <c r="H53" s="1307">
        <v>117</v>
      </c>
      <c r="I53" s="1298">
        <v>2</v>
      </c>
      <c r="J53" s="615">
        <v>5</v>
      </c>
      <c r="K53" s="616">
        <v>5790</v>
      </c>
      <c r="L53" s="616">
        <v>117</v>
      </c>
      <c r="M53" s="620">
        <v>2</v>
      </c>
      <c r="N53" s="51">
        <f t="shared" si="0"/>
        <v>0</v>
      </c>
    </row>
    <row r="54" spans="1:14" ht="15.75" customHeight="1" thickBot="1">
      <c r="A54" s="1318"/>
      <c r="B54" s="1322"/>
      <c r="C54" s="1311"/>
      <c r="D54" s="623"/>
      <c r="E54" s="1311"/>
      <c r="F54" s="621"/>
      <c r="G54" s="621"/>
      <c r="H54" s="623"/>
      <c r="I54" s="1300"/>
      <c r="J54" s="621"/>
      <c r="K54" s="622"/>
      <c r="L54" s="622"/>
      <c r="M54" s="620"/>
      <c r="N54" s="51">
        <f t="shared" si="0"/>
        <v>0</v>
      </c>
    </row>
    <row r="55" spans="1:16" ht="15.75" customHeight="1" thickBot="1">
      <c r="A55" s="1330"/>
      <c r="B55" s="1323" t="s">
        <v>1125</v>
      </c>
      <c r="C55" s="1324">
        <f aca="true" t="shared" si="1" ref="C55:J55">SUM(C9:C53)</f>
        <v>34883</v>
      </c>
      <c r="D55" s="1325">
        <f t="shared" si="1"/>
        <v>420716</v>
      </c>
      <c r="E55" s="1324">
        <f t="shared" si="1"/>
        <v>208678</v>
      </c>
      <c r="F55" s="1326">
        <f t="shared" si="1"/>
        <v>166025</v>
      </c>
      <c r="G55" s="1326">
        <f t="shared" si="1"/>
        <v>29218</v>
      </c>
      <c r="H55" s="1325">
        <f>SUM(H9:H53)</f>
        <v>16795</v>
      </c>
      <c r="I55" s="1327">
        <f t="shared" si="1"/>
        <v>1975</v>
      </c>
      <c r="J55" s="1326">
        <f t="shared" si="1"/>
        <v>208678</v>
      </c>
      <c r="K55" s="1328">
        <f>SUM(K9:K53)</f>
        <v>169260</v>
      </c>
      <c r="L55" s="1325">
        <f>SUM(L9:L53)</f>
        <v>14954</v>
      </c>
      <c r="M55" s="1329">
        <f>SUM(M9:M53)</f>
        <v>2702</v>
      </c>
      <c r="N55" s="51">
        <f>L55-H55</f>
        <v>-1841</v>
      </c>
      <c r="P55" s="490"/>
    </row>
    <row r="56" spans="1:13" ht="15.75" customHeight="1">
      <c r="A56" s="486"/>
      <c r="B56" s="487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3"/>
    </row>
    <row r="57" spans="1:13" ht="15.75" customHeight="1">
      <c r="A57" s="29"/>
      <c r="B57" s="489"/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83"/>
    </row>
    <row r="58" spans="1:13" ht="15.75" customHeight="1">
      <c r="A58" s="29"/>
      <c r="B58" s="491"/>
      <c r="C58" s="490"/>
      <c r="D58" s="490"/>
      <c r="E58" s="490"/>
      <c r="F58" s="490"/>
      <c r="G58" s="490"/>
      <c r="I58" s="490"/>
      <c r="J58" s="490"/>
      <c r="K58" s="490"/>
      <c r="L58" s="490"/>
      <c r="M58" s="483"/>
    </row>
    <row r="59" spans="1:13" ht="15.75" customHeight="1">
      <c r="A59" s="29"/>
      <c r="B59" s="492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83"/>
    </row>
    <row r="60" spans="1:13" ht="15.75" customHeight="1">
      <c r="A60" s="29"/>
      <c r="B60" s="29"/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M60" s="483"/>
    </row>
  </sheetData>
  <sheetProtection/>
  <mergeCells count="6">
    <mergeCell ref="E6:H6"/>
    <mergeCell ref="A2:C2"/>
    <mergeCell ref="L2:M2"/>
    <mergeCell ref="L4:M4"/>
    <mergeCell ref="A4:K4"/>
    <mergeCell ref="L3:M3"/>
  </mergeCells>
  <printOptions/>
  <pageMargins left="0.17" right="0.17" top="0.787401575" bottom="0.787401575" header="0.3" footer="0.3"/>
  <pageSetup horizontalDpi="600" verticalDpi="600" orientation="portrait" paperSize="9" scale="84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5.75390625" style="649" customWidth="1"/>
    <col min="2" max="2" width="18.625" style="649" customWidth="1"/>
    <col min="3" max="3" width="19.125" style="649" customWidth="1"/>
    <col min="4" max="4" width="27.25390625" style="649" customWidth="1"/>
    <col min="5" max="16384" width="9.125" style="649" customWidth="1"/>
  </cols>
  <sheetData>
    <row r="1" ht="15.75" customHeight="1"/>
    <row r="2" spans="1:3" ht="15.75" customHeight="1">
      <c r="A2" s="1116" t="s">
        <v>167</v>
      </c>
      <c r="B2" s="1116"/>
      <c r="C2" s="1361" t="s">
        <v>320</v>
      </c>
    </row>
    <row r="3" ht="15.75" customHeight="1">
      <c r="C3" s="1122" t="s">
        <v>262</v>
      </c>
    </row>
    <row r="4" spans="1:3" ht="18.75" customHeight="1">
      <c r="A4" s="1400" t="s">
        <v>289</v>
      </c>
      <c r="B4" s="1400"/>
      <c r="C4" s="1122" t="s">
        <v>386</v>
      </c>
    </row>
    <row r="5" ht="15.75" customHeight="1">
      <c r="C5" s="1029"/>
    </row>
    <row r="6" ht="15.75" customHeight="1">
      <c r="C6" s="1122"/>
    </row>
    <row r="7" ht="15.75" customHeight="1">
      <c r="A7" s="1121" t="s">
        <v>288</v>
      </c>
    </row>
    <row r="8" ht="15.75" customHeight="1" thickBot="1"/>
    <row r="9" spans="1:3" ht="15.75" customHeight="1" thickBot="1">
      <c r="A9" s="1349"/>
      <c r="B9" s="1352" t="s">
        <v>283</v>
      </c>
      <c r="C9" s="1347" t="s">
        <v>287</v>
      </c>
    </row>
    <row r="10" spans="1:3" ht="15.75" customHeight="1">
      <c r="A10" s="1350" t="s">
        <v>286</v>
      </c>
      <c r="B10" s="1353">
        <v>199158</v>
      </c>
      <c r="C10" s="669">
        <v>199158</v>
      </c>
    </row>
    <row r="11" spans="1:3" ht="15.75" customHeight="1" thickBot="1">
      <c r="A11" s="1119" t="s">
        <v>285</v>
      </c>
      <c r="B11" s="1354">
        <v>14737</v>
      </c>
      <c r="C11" s="680">
        <v>12737</v>
      </c>
    </row>
    <row r="12" spans="1:3" ht="15.75" customHeight="1" thickBot="1">
      <c r="A12" s="1351" t="s">
        <v>627</v>
      </c>
      <c r="B12" s="1355">
        <f>B10+B11</f>
        <v>213895</v>
      </c>
      <c r="C12" s="1348">
        <f>C10+C11</f>
        <v>211895</v>
      </c>
    </row>
    <row r="13" spans="1:3" ht="15.75" customHeight="1">
      <c r="A13" s="1118"/>
      <c r="B13" s="1120"/>
      <c r="C13" s="1120"/>
    </row>
    <row r="14" ht="15.75" customHeight="1"/>
    <row r="15" ht="15.75" customHeight="1">
      <c r="A15" s="1121" t="s">
        <v>284</v>
      </c>
    </row>
    <row r="16" ht="15.75" customHeight="1" thickBot="1"/>
    <row r="17" spans="1:3" ht="15.75" customHeight="1" thickBot="1">
      <c r="A17" s="1349"/>
      <c r="B17" s="1352" t="s">
        <v>283</v>
      </c>
      <c r="C17" s="1347" t="s">
        <v>282</v>
      </c>
    </row>
    <row r="18" spans="1:4" ht="15.75" customHeight="1">
      <c r="A18" s="1350" t="s">
        <v>281</v>
      </c>
      <c r="B18" s="1353">
        <v>71705</v>
      </c>
      <c r="C18" s="669">
        <v>71705</v>
      </c>
      <c r="D18" s="1120"/>
    </row>
    <row r="19" spans="1:4" ht="15.75" customHeight="1">
      <c r="A19" s="1358" t="s">
        <v>280</v>
      </c>
      <c r="B19" s="1356">
        <v>9091</v>
      </c>
      <c r="C19" s="670">
        <v>9091</v>
      </c>
      <c r="D19" s="1120"/>
    </row>
    <row r="20" spans="1:4" ht="15.75" customHeight="1">
      <c r="A20" s="1358" t="s">
        <v>279</v>
      </c>
      <c r="B20" s="1356">
        <v>21146</v>
      </c>
      <c r="C20" s="670">
        <v>21146</v>
      </c>
      <c r="D20" s="1120"/>
    </row>
    <row r="21" spans="1:4" ht="15.75" customHeight="1">
      <c r="A21" s="1358" t="s">
        <v>278</v>
      </c>
      <c r="B21" s="1356">
        <v>18353</v>
      </c>
      <c r="C21" s="670">
        <v>18351</v>
      </c>
      <c r="D21" s="1120"/>
    </row>
    <row r="22" spans="1:4" ht="15.75" customHeight="1">
      <c r="A22" s="1358" t="s">
        <v>277</v>
      </c>
      <c r="B22" s="1356">
        <v>31336</v>
      </c>
      <c r="C22" s="670">
        <v>31336</v>
      </c>
      <c r="D22" s="1120"/>
    </row>
    <row r="23" spans="1:4" ht="15.75" customHeight="1">
      <c r="A23" s="1358" t="s">
        <v>276</v>
      </c>
      <c r="B23" s="1356">
        <v>10269</v>
      </c>
      <c r="C23" s="670">
        <v>10269</v>
      </c>
      <c r="D23" s="1120"/>
    </row>
    <row r="24" spans="1:4" ht="15.75" customHeight="1">
      <c r="A24" s="1358" t="s">
        <v>722</v>
      </c>
      <c r="B24" s="1356">
        <v>4148</v>
      </c>
      <c r="C24" s="670">
        <v>4148</v>
      </c>
      <c r="D24" s="1120"/>
    </row>
    <row r="25" spans="1:4" ht="15.75" customHeight="1">
      <c r="A25" s="1358" t="s">
        <v>275</v>
      </c>
      <c r="B25" s="1356">
        <v>2031</v>
      </c>
      <c r="C25" s="670">
        <v>2031</v>
      </c>
      <c r="D25" s="1120"/>
    </row>
    <row r="26" spans="1:4" ht="15.75" customHeight="1">
      <c r="A26" s="1358" t="s">
        <v>274</v>
      </c>
      <c r="B26" s="1356">
        <v>6985</v>
      </c>
      <c r="C26" s="670">
        <v>6985</v>
      </c>
      <c r="D26" s="1120"/>
    </row>
    <row r="27" spans="1:5" ht="15.75" customHeight="1" thickBot="1">
      <c r="A27" s="1119" t="s">
        <v>273</v>
      </c>
      <c r="B27" s="1357">
        <v>938</v>
      </c>
      <c r="C27" s="1119">
        <v>938</v>
      </c>
      <c r="D27" s="1118"/>
      <c r="E27" s="1118"/>
    </row>
    <row r="28" spans="1:3" ht="15.75" customHeight="1" thickBot="1">
      <c r="A28" s="1351" t="s">
        <v>627</v>
      </c>
      <c r="B28" s="1355">
        <f>SUM(B18:B27)</f>
        <v>176002</v>
      </c>
      <c r="C28" s="1348">
        <f>SUM(C18:C27)</f>
        <v>176000</v>
      </c>
    </row>
    <row r="29" ht="15.75" customHeight="1">
      <c r="B29" s="1117"/>
    </row>
    <row r="30" ht="15.75" customHeight="1"/>
    <row r="31" ht="15.75" customHeight="1"/>
  </sheetData>
  <sheetProtection/>
  <mergeCells count="1">
    <mergeCell ref="A4:B4"/>
  </mergeCells>
  <printOptions/>
  <pageMargins left="0.94" right="0.75" top="1.21" bottom="1" header="0.4921259845" footer="0.4921259845"/>
  <pageSetup horizontalDpi="600" verticalDpi="600" orientation="portrait" paperSize="9" r:id="rId1"/>
  <colBreaks count="2" manualBreakCount="2">
    <brk id="3" max="65535" man="1"/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121"/>
  <sheetViews>
    <sheetView zoomScalePageLayoutView="0" workbookViewId="0" topLeftCell="A79">
      <selection activeCell="I55" sqref="I55"/>
    </sheetView>
  </sheetViews>
  <sheetFormatPr defaultColWidth="9.00390625" defaultRowHeight="12.75"/>
  <cols>
    <col min="1" max="1" width="30.75390625" style="1123" customWidth="1"/>
    <col min="2" max="2" width="10.75390625" style="1123" customWidth="1"/>
    <col min="3" max="3" width="12.875" style="1123" customWidth="1"/>
    <col min="4" max="4" width="12.25390625" style="1123" customWidth="1"/>
    <col min="5" max="6" width="10.75390625" style="1123" customWidth="1"/>
    <col min="7" max="7" width="10.125" style="1123" customWidth="1"/>
    <col min="8" max="8" width="9.75390625" style="1123" customWidth="1"/>
    <col min="9" max="10" width="9.125" style="1123" customWidth="1"/>
    <col min="11" max="11" width="13.75390625" style="1123" customWidth="1"/>
    <col min="12" max="16384" width="9.125" style="1123" customWidth="1"/>
  </cols>
  <sheetData>
    <row r="2" spans="1:7" ht="15.75" customHeight="1">
      <c r="A2" s="1116" t="s">
        <v>167</v>
      </c>
      <c r="G2" s="1361" t="s">
        <v>321</v>
      </c>
    </row>
    <row r="3" ht="15">
      <c r="G3" s="1122" t="s">
        <v>263</v>
      </c>
    </row>
    <row r="4" spans="1:7" s="1160" customFormat="1" ht="20.25">
      <c r="A4" s="1403" t="s">
        <v>319</v>
      </c>
      <c r="B4" s="1403"/>
      <c r="C4" s="1403"/>
      <c r="D4" s="1403"/>
      <c r="E4" s="1403"/>
      <c r="F4" s="1403"/>
      <c r="G4" s="1122" t="s">
        <v>386</v>
      </c>
    </row>
    <row r="5" ht="15">
      <c r="F5" s="1146"/>
    </row>
    <row r="6" spans="1:7" ht="15.75">
      <c r="A6" s="1125" t="s">
        <v>318</v>
      </c>
      <c r="F6" s="1146"/>
      <c r="G6" s="1156"/>
    </row>
    <row r="7" spans="6:7" ht="15.75" thickBot="1">
      <c r="F7" s="1146"/>
      <c r="G7" s="1156"/>
    </row>
    <row r="8" spans="1:8" ht="16.5" thickBot="1">
      <c r="A8" s="1205" t="s">
        <v>278</v>
      </c>
      <c r="B8" s="1401" t="s">
        <v>298</v>
      </c>
      <c r="C8" s="1404"/>
      <c r="D8" s="1207"/>
      <c r="E8" s="1206" t="s">
        <v>297</v>
      </c>
      <c r="F8" s="1271"/>
      <c r="G8" s="1208" t="s">
        <v>627</v>
      </c>
      <c r="H8" s="1152"/>
    </row>
    <row r="9" spans="1:8" ht="16.5" thickBot="1">
      <c r="A9" s="1190" t="s">
        <v>296</v>
      </c>
      <c r="B9" s="1209" t="s">
        <v>295</v>
      </c>
      <c r="C9" s="1251" t="s">
        <v>294</v>
      </c>
      <c r="D9" s="1191" t="s">
        <v>295</v>
      </c>
      <c r="E9" s="1251" t="s">
        <v>294</v>
      </c>
      <c r="F9" s="1192" t="s">
        <v>295</v>
      </c>
      <c r="G9" s="1210" t="s">
        <v>294</v>
      </c>
      <c r="H9" s="1159"/>
    </row>
    <row r="10" spans="1:8" ht="15">
      <c r="A10" s="1145" t="s">
        <v>1216</v>
      </c>
      <c r="B10" s="1145">
        <v>402</v>
      </c>
      <c r="C10" s="1268">
        <v>402</v>
      </c>
      <c r="D10" s="1135">
        <v>20</v>
      </c>
      <c r="E10" s="1252">
        <v>20</v>
      </c>
      <c r="F10" s="1257">
        <f aca="true" t="shared" si="0" ref="F10:F28">B10+D10</f>
        <v>422</v>
      </c>
      <c r="G10" s="1218">
        <f aca="true" t="shared" si="1" ref="G10:G28">C10+E10</f>
        <v>422</v>
      </c>
      <c r="H10" s="1132"/>
    </row>
    <row r="11" spans="1:8" ht="15">
      <c r="A11" s="1131" t="s">
        <v>293</v>
      </c>
      <c r="B11" s="1131">
        <v>210</v>
      </c>
      <c r="C11" s="1269">
        <v>210</v>
      </c>
      <c r="D11" s="1133">
        <v>35</v>
      </c>
      <c r="E11" s="1253">
        <v>35</v>
      </c>
      <c r="F11" s="1241">
        <f t="shared" si="0"/>
        <v>245</v>
      </c>
      <c r="G11" s="1219">
        <f t="shared" si="1"/>
        <v>245</v>
      </c>
      <c r="H11" s="1132"/>
    </row>
    <row r="12" spans="1:8" ht="15">
      <c r="A12" s="1131" t="s">
        <v>312</v>
      </c>
      <c r="B12" s="1131">
        <v>424</v>
      </c>
      <c r="C12" s="1269">
        <v>424</v>
      </c>
      <c r="D12" s="1133">
        <v>15</v>
      </c>
      <c r="E12" s="1253">
        <v>15</v>
      </c>
      <c r="F12" s="1241">
        <f t="shared" si="0"/>
        <v>439</v>
      </c>
      <c r="G12" s="1219">
        <f t="shared" si="1"/>
        <v>439</v>
      </c>
      <c r="H12" s="1132"/>
    </row>
    <row r="13" spans="1:8" ht="15">
      <c r="A13" s="1131" t="s">
        <v>292</v>
      </c>
      <c r="B13" s="1131">
        <v>195</v>
      </c>
      <c r="C13" s="1269">
        <v>195</v>
      </c>
      <c r="D13" s="1129">
        <v>20</v>
      </c>
      <c r="E13" s="1254">
        <v>20</v>
      </c>
      <c r="F13" s="1241">
        <f t="shared" si="0"/>
        <v>215</v>
      </c>
      <c r="G13" s="1219">
        <f t="shared" si="1"/>
        <v>215</v>
      </c>
      <c r="H13" s="1132"/>
    </row>
    <row r="14" spans="1:8" ht="15">
      <c r="A14" s="1131" t="s">
        <v>311</v>
      </c>
      <c r="B14" s="1131">
        <v>1424</v>
      </c>
      <c r="C14" s="1269">
        <v>1424</v>
      </c>
      <c r="D14" s="1129">
        <v>75</v>
      </c>
      <c r="E14" s="1254">
        <v>75</v>
      </c>
      <c r="F14" s="1241">
        <f t="shared" si="0"/>
        <v>1499</v>
      </c>
      <c r="G14" s="1219">
        <f t="shared" si="1"/>
        <v>1499</v>
      </c>
      <c r="H14" s="1132"/>
    </row>
    <row r="15" spans="1:8" ht="15">
      <c r="A15" s="1131" t="s">
        <v>310</v>
      </c>
      <c r="B15" s="1131">
        <v>199</v>
      </c>
      <c r="C15" s="1269">
        <v>199</v>
      </c>
      <c r="D15" s="1133">
        <v>30</v>
      </c>
      <c r="E15" s="1253">
        <v>30</v>
      </c>
      <c r="F15" s="1241">
        <f t="shared" si="0"/>
        <v>229</v>
      </c>
      <c r="G15" s="1219">
        <f t="shared" si="1"/>
        <v>229</v>
      </c>
      <c r="H15" s="1132"/>
    </row>
    <row r="16" spans="1:8" ht="15">
      <c r="A16" s="1131" t="s">
        <v>309</v>
      </c>
      <c r="B16" s="1131">
        <v>1580</v>
      </c>
      <c r="C16" s="1269">
        <v>1580</v>
      </c>
      <c r="D16" s="1133">
        <v>70</v>
      </c>
      <c r="E16" s="1253">
        <v>70</v>
      </c>
      <c r="F16" s="1241">
        <f t="shared" si="0"/>
        <v>1650</v>
      </c>
      <c r="G16" s="1219">
        <f t="shared" si="1"/>
        <v>1650</v>
      </c>
      <c r="H16" s="1132"/>
    </row>
    <row r="17" spans="1:8" ht="15">
      <c r="A17" s="1131" t="s">
        <v>308</v>
      </c>
      <c r="B17" s="1131">
        <v>1882</v>
      </c>
      <c r="C17" s="1269">
        <v>1882</v>
      </c>
      <c r="D17" s="1133">
        <v>90</v>
      </c>
      <c r="E17" s="1253">
        <v>90</v>
      </c>
      <c r="F17" s="1241">
        <f t="shared" si="0"/>
        <v>1972</v>
      </c>
      <c r="G17" s="1219">
        <f t="shared" si="1"/>
        <v>1972</v>
      </c>
      <c r="H17" s="1132"/>
    </row>
    <row r="18" spans="1:8" ht="15">
      <c r="A18" s="1131" t="s">
        <v>307</v>
      </c>
      <c r="B18" s="1131">
        <v>1647</v>
      </c>
      <c r="C18" s="1269">
        <v>1647</v>
      </c>
      <c r="D18" s="1133">
        <v>80</v>
      </c>
      <c r="E18" s="1253">
        <v>80</v>
      </c>
      <c r="F18" s="1241">
        <f t="shared" si="0"/>
        <v>1727</v>
      </c>
      <c r="G18" s="1219">
        <f t="shared" si="1"/>
        <v>1727</v>
      </c>
      <c r="H18" s="1132"/>
    </row>
    <row r="19" spans="1:8" ht="15">
      <c r="A19" s="1131" t="s">
        <v>306</v>
      </c>
      <c r="B19" s="1131">
        <v>1505</v>
      </c>
      <c r="C19" s="1269">
        <v>1505</v>
      </c>
      <c r="D19" s="1133">
        <v>75</v>
      </c>
      <c r="E19" s="1253">
        <v>75</v>
      </c>
      <c r="F19" s="1241">
        <f t="shared" si="0"/>
        <v>1580</v>
      </c>
      <c r="G19" s="1219">
        <f t="shared" si="1"/>
        <v>1580</v>
      </c>
      <c r="H19" s="1132"/>
    </row>
    <row r="20" spans="1:8" ht="15">
      <c r="A20" s="1131" t="s">
        <v>305</v>
      </c>
      <c r="B20" s="1131">
        <v>1250</v>
      </c>
      <c r="C20" s="1269">
        <v>1250</v>
      </c>
      <c r="D20" s="1133">
        <v>100</v>
      </c>
      <c r="E20" s="1253">
        <v>100</v>
      </c>
      <c r="F20" s="1241">
        <f t="shared" si="0"/>
        <v>1350</v>
      </c>
      <c r="G20" s="1219">
        <f t="shared" si="1"/>
        <v>1350</v>
      </c>
      <c r="H20" s="1132"/>
    </row>
    <row r="21" spans="1:8" ht="15">
      <c r="A21" s="1131" t="s">
        <v>304</v>
      </c>
      <c r="B21" s="1131">
        <v>243</v>
      </c>
      <c r="C21" s="1269">
        <v>243</v>
      </c>
      <c r="D21" s="1133">
        <v>87</v>
      </c>
      <c r="E21" s="1253">
        <v>87</v>
      </c>
      <c r="F21" s="1241">
        <f t="shared" si="0"/>
        <v>330</v>
      </c>
      <c r="G21" s="1219">
        <f t="shared" si="1"/>
        <v>330</v>
      </c>
      <c r="H21" s="1132"/>
    </row>
    <row r="22" spans="1:8" ht="15">
      <c r="A22" s="1131" t="s">
        <v>303</v>
      </c>
      <c r="B22" s="1131">
        <v>0</v>
      </c>
      <c r="C22" s="1269">
        <v>0</v>
      </c>
      <c r="D22" s="1133">
        <v>0</v>
      </c>
      <c r="E22" s="1253">
        <v>0</v>
      </c>
      <c r="F22" s="1241">
        <f t="shared" si="0"/>
        <v>0</v>
      </c>
      <c r="G22" s="1219">
        <f t="shared" si="1"/>
        <v>0</v>
      </c>
      <c r="H22" s="1132"/>
    </row>
    <row r="23" spans="1:8" ht="15">
      <c r="A23" s="1131" t="s">
        <v>302</v>
      </c>
      <c r="B23" s="1131">
        <v>1634</v>
      </c>
      <c r="C23" s="1269">
        <v>1634</v>
      </c>
      <c r="D23" s="1133">
        <v>140</v>
      </c>
      <c r="E23" s="1253">
        <v>140</v>
      </c>
      <c r="F23" s="1241">
        <f t="shared" si="0"/>
        <v>1774</v>
      </c>
      <c r="G23" s="1219">
        <f t="shared" si="1"/>
        <v>1774</v>
      </c>
      <c r="H23" s="1132"/>
    </row>
    <row r="24" spans="1:8" ht="15">
      <c r="A24" s="1131" t="s">
        <v>301</v>
      </c>
      <c r="B24" s="1131">
        <v>582</v>
      </c>
      <c r="C24" s="1269">
        <v>582</v>
      </c>
      <c r="D24" s="1133">
        <v>189</v>
      </c>
      <c r="E24" s="1253">
        <v>189</v>
      </c>
      <c r="F24" s="1241">
        <f t="shared" si="0"/>
        <v>771</v>
      </c>
      <c r="G24" s="1219">
        <f t="shared" si="1"/>
        <v>771</v>
      </c>
      <c r="H24" s="1132"/>
    </row>
    <row r="25" spans="1:8" ht="15">
      <c r="A25" s="1131" t="s">
        <v>291</v>
      </c>
      <c r="B25" s="1131">
        <v>1898</v>
      </c>
      <c r="C25" s="1269">
        <v>1898</v>
      </c>
      <c r="D25" s="1133">
        <v>80</v>
      </c>
      <c r="E25" s="1253">
        <v>80</v>
      </c>
      <c r="F25" s="1241">
        <f t="shared" si="0"/>
        <v>1978</v>
      </c>
      <c r="G25" s="1219">
        <f t="shared" si="1"/>
        <v>1978</v>
      </c>
      <c r="H25" s="1132"/>
    </row>
    <row r="26" spans="1:8" ht="15">
      <c r="A26" s="1131" t="s">
        <v>300</v>
      </c>
      <c r="B26" s="1131">
        <v>1127</v>
      </c>
      <c r="C26" s="1269">
        <v>1127</v>
      </c>
      <c r="D26" s="1133">
        <v>55</v>
      </c>
      <c r="E26" s="1253">
        <v>55</v>
      </c>
      <c r="F26" s="1241">
        <f t="shared" si="0"/>
        <v>1182</v>
      </c>
      <c r="G26" s="1219">
        <f t="shared" si="1"/>
        <v>1182</v>
      </c>
      <c r="H26" s="1132"/>
    </row>
    <row r="27" spans="1:8" ht="15.75" thickBot="1">
      <c r="A27" s="1127" t="s">
        <v>290</v>
      </c>
      <c r="B27" s="1178">
        <v>958</v>
      </c>
      <c r="C27" s="1270">
        <v>958</v>
      </c>
      <c r="D27" s="1157">
        <v>30</v>
      </c>
      <c r="E27" s="1255">
        <v>30</v>
      </c>
      <c r="F27" s="1258">
        <f t="shared" si="0"/>
        <v>988</v>
      </c>
      <c r="G27" s="1220">
        <f t="shared" si="1"/>
        <v>988</v>
      </c>
      <c r="H27" s="1132"/>
    </row>
    <row r="28" spans="1:8" s="1125" customFormat="1" ht="16.5" thickBot="1">
      <c r="A28" s="1221" t="s">
        <v>627</v>
      </c>
      <c r="B28" s="1222">
        <f>SUM(B10:B27)</f>
        <v>17160</v>
      </c>
      <c r="C28" s="1256">
        <f>SUM(C10:C27)</f>
        <v>17160</v>
      </c>
      <c r="D28" s="1224">
        <f>SUM(D10:D27)</f>
        <v>1191</v>
      </c>
      <c r="E28" s="1256">
        <f>SUM(E10:E27)</f>
        <v>1191</v>
      </c>
      <c r="F28" s="1226">
        <f t="shared" si="0"/>
        <v>18351</v>
      </c>
      <c r="G28" s="1225">
        <f t="shared" si="1"/>
        <v>18351</v>
      </c>
      <c r="H28" s="1158"/>
    </row>
    <row r="29" ht="15" hidden="1">
      <c r="F29" s="1146"/>
    </row>
    <row r="30" ht="15">
      <c r="F30" s="1146"/>
    </row>
    <row r="31" spans="2:6" ht="15.75" thickBot="1">
      <c r="B31" s="1138"/>
      <c r="C31" s="1138"/>
      <c r="D31" s="1138"/>
      <c r="E31" s="1138"/>
      <c r="F31" s="1146"/>
    </row>
    <row r="32" spans="1:7" ht="16.5" thickBot="1">
      <c r="A32" s="1205" t="s">
        <v>279</v>
      </c>
      <c r="B32" s="1401" t="s">
        <v>298</v>
      </c>
      <c r="C32" s="1402"/>
      <c r="D32" s="1207"/>
      <c r="E32" s="1206" t="s">
        <v>297</v>
      </c>
      <c r="F32" s="1271"/>
      <c r="G32" s="1208" t="s">
        <v>627</v>
      </c>
    </row>
    <row r="33" spans="1:7" ht="16.5" thickBot="1">
      <c r="A33" s="1190" t="s">
        <v>296</v>
      </c>
      <c r="B33" s="1209" t="s">
        <v>295</v>
      </c>
      <c r="C33" s="1192" t="s">
        <v>294</v>
      </c>
      <c r="D33" s="1191" t="s">
        <v>295</v>
      </c>
      <c r="E33" s="1251" t="s">
        <v>294</v>
      </c>
      <c r="F33" s="1192" t="s">
        <v>295</v>
      </c>
      <c r="G33" s="1210" t="s">
        <v>294</v>
      </c>
    </row>
    <row r="34" spans="1:7" ht="15">
      <c r="A34" s="1137" t="s">
        <v>1216</v>
      </c>
      <c r="B34" s="1145">
        <v>622</v>
      </c>
      <c r="C34" s="1265">
        <v>622</v>
      </c>
      <c r="D34" s="1211">
        <v>100</v>
      </c>
      <c r="E34" s="1247">
        <v>100</v>
      </c>
      <c r="F34" s="1276">
        <f aca="true" t="shared" si="2" ref="F34:F51">B34+D34</f>
        <v>722</v>
      </c>
      <c r="G34" s="1259">
        <f aca="true" t="shared" si="3" ref="G34:G51">SUM(C34+E34)</f>
        <v>722</v>
      </c>
    </row>
    <row r="35" spans="1:7" ht="15">
      <c r="A35" s="1131" t="s">
        <v>293</v>
      </c>
      <c r="B35" s="1131">
        <v>293</v>
      </c>
      <c r="C35" s="1266">
        <v>293</v>
      </c>
      <c r="D35" s="1212">
        <v>93</v>
      </c>
      <c r="E35" s="1248">
        <v>93</v>
      </c>
      <c r="F35" s="1277">
        <f t="shared" si="2"/>
        <v>386</v>
      </c>
      <c r="G35" s="1260">
        <f t="shared" si="3"/>
        <v>386</v>
      </c>
    </row>
    <row r="36" spans="1:7" ht="15">
      <c r="A36" s="1131" t="s">
        <v>312</v>
      </c>
      <c r="B36" s="1131">
        <v>527</v>
      </c>
      <c r="C36" s="1266">
        <v>527</v>
      </c>
      <c r="D36" s="1212">
        <v>79</v>
      </c>
      <c r="E36" s="1248">
        <v>79</v>
      </c>
      <c r="F36" s="1277">
        <f t="shared" si="2"/>
        <v>606</v>
      </c>
      <c r="G36" s="1260">
        <f t="shared" si="3"/>
        <v>606</v>
      </c>
    </row>
    <row r="37" spans="1:7" ht="15">
      <c r="A37" s="1131" t="s">
        <v>292</v>
      </c>
      <c r="B37" s="1131">
        <v>592</v>
      </c>
      <c r="C37" s="1266">
        <v>592</v>
      </c>
      <c r="D37" s="1213">
        <v>150</v>
      </c>
      <c r="E37" s="1249">
        <v>150</v>
      </c>
      <c r="F37" s="1277">
        <f t="shared" si="2"/>
        <v>742</v>
      </c>
      <c r="G37" s="1260">
        <f t="shared" si="3"/>
        <v>742</v>
      </c>
    </row>
    <row r="38" spans="1:7" ht="15">
      <c r="A38" s="1131" t="s">
        <v>311</v>
      </c>
      <c r="B38" s="1131">
        <v>1345</v>
      </c>
      <c r="C38" s="1266">
        <v>1345</v>
      </c>
      <c r="D38" s="1213">
        <v>115</v>
      </c>
      <c r="E38" s="1249">
        <v>115</v>
      </c>
      <c r="F38" s="1277">
        <f t="shared" si="2"/>
        <v>1460</v>
      </c>
      <c r="G38" s="1260">
        <f t="shared" si="3"/>
        <v>1460</v>
      </c>
    </row>
    <row r="39" spans="1:7" ht="15">
      <c r="A39" s="1131" t="s">
        <v>310</v>
      </c>
      <c r="B39" s="1131">
        <v>953</v>
      </c>
      <c r="C39" s="1266">
        <v>953</v>
      </c>
      <c r="D39" s="1212">
        <v>90</v>
      </c>
      <c r="E39" s="1248">
        <v>90</v>
      </c>
      <c r="F39" s="1277">
        <f t="shared" si="2"/>
        <v>1043</v>
      </c>
      <c r="G39" s="1260">
        <f t="shared" si="3"/>
        <v>1043</v>
      </c>
    </row>
    <row r="40" spans="1:7" ht="15">
      <c r="A40" s="1131" t="s">
        <v>309</v>
      </c>
      <c r="B40" s="1131">
        <v>1415</v>
      </c>
      <c r="C40" s="1266">
        <v>1415</v>
      </c>
      <c r="D40" s="1212">
        <v>85</v>
      </c>
      <c r="E40" s="1248">
        <v>85</v>
      </c>
      <c r="F40" s="1277">
        <f t="shared" si="2"/>
        <v>1500</v>
      </c>
      <c r="G40" s="1260">
        <f t="shared" si="3"/>
        <v>1500</v>
      </c>
    </row>
    <row r="41" spans="1:7" ht="15">
      <c r="A41" s="1131" t="s">
        <v>308</v>
      </c>
      <c r="B41" s="1131">
        <v>1679</v>
      </c>
      <c r="C41" s="1266">
        <v>1679</v>
      </c>
      <c r="D41" s="1212">
        <v>110</v>
      </c>
      <c r="E41" s="1248">
        <v>110</v>
      </c>
      <c r="F41" s="1277">
        <f t="shared" si="2"/>
        <v>1789</v>
      </c>
      <c r="G41" s="1260">
        <f t="shared" si="3"/>
        <v>1789</v>
      </c>
    </row>
    <row r="42" spans="1:7" ht="15">
      <c r="A42" s="1131" t="s">
        <v>307</v>
      </c>
      <c r="B42" s="1131">
        <v>1536</v>
      </c>
      <c r="C42" s="1266">
        <v>1536</v>
      </c>
      <c r="D42" s="1212">
        <v>105</v>
      </c>
      <c r="E42" s="1248">
        <v>105</v>
      </c>
      <c r="F42" s="1277">
        <f t="shared" si="2"/>
        <v>1641</v>
      </c>
      <c r="G42" s="1260">
        <f t="shared" si="3"/>
        <v>1641</v>
      </c>
    </row>
    <row r="43" spans="1:7" ht="15">
      <c r="A43" s="1131" t="s">
        <v>306</v>
      </c>
      <c r="B43" s="1131">
        <v>1124</v>
      </c>
      <c r="C43" s="1266">
        <v>1124</v>
      </c>
      <c r="D43" s="1212">
        <v>100</v>
      </c>
      <c r="E43" s="1248">
        <v>100</v>
      </c>
      <c r="F43" s="1277">
        <f t="shared" si="2"/>
        <v>1224</v>
      </c>
      <c r="G43" s="1260">
        <f t="shared" si="3"/>
        <v>1224</v>
      </c>
    </row>
    <row r="44" spans="1:7" ht="15">
      <c r="A44" s="1131" t="s">
        <v>305</v>
      </c>
      <c r="B44" s="1131">
        <v>1949</v>
      </c>
      <c r="C44" s="1266">
        <v>1949</v>
      </c>
      <c r="D44" s="1212">
        <v>626</v>
      </c>
      <c r="E44" s="1248">
        <v>626</v>
      </c>
      <c r="F44" s="1277">
        <f t="shared" si="2"/>
        <v>2575</v>
      </c>
      <c r="G44" s="1260">
        <f t="shared" si="3"/>
        <v>2575</v>
      </c>
    </row>
    <row r="45" spans="1:7" ht="15">
      <c r="A45" s="1131" t="s">
        <v>304</v>
      </c>
      <c r="B45" s="1131">
        <v>0</v>
      </c>
      <c r="C45" s="1266">
        <v>0</v>
      </c>
      <c r="D45" s="1212">
        <v>0</v>
      </c>
      <c r="E45" s="1248">
        <v>0</v>
      </c>
      <c r="F45" s="1277">
        <f t="shared" si="2"/>
        <v>0</v>
      </c>
      <c r="G45" s="1260">
        <f t="shared" si="3"/>
        <v>0</v>
      </c>
    </row>
    <row r="46" spans="1:7" ht="15">
      <c r="A46" s="1131" t="s">
        <v>303</v>
      </c>
      <c r="B46" s="1131">
        <v>576</v>
      </c>
      <c r="C46" s="1266">
        <v>576</v>
      </c>
      <c r="D46" s="1212">
        <v>101</v>
      </c>
      <c r="E46" s="1248">
        <v>101</v>
      </c>
      <c r="F46" s="1277">
        <f t="shared" si="2"/>
        <v>677</v>
      </c>
      <c r="G46" s="1260">
        <f t="shared" si="3"/>
        <v>677</v>
      </c>
    </row>
    <row r="47" spans="1:7" ht="15">
      <c r="A47" s="1131" t="s">
        <v>302</v>
      </c>
      <c r="B47" s="1131">
        <v>1230</v>
      </c>
      <c r="C47" s="1266">
        <v>1230</v>
      </c>
      <c r="D47" s="1212">
        <v>220</v>
      </c>
      <c r="E47" s="1248">
        <v>220</v>
      </c>
      <c r="F47" s="1277">
        <f t="shared" si="2"/>
        <v>1450</v>
      </c>
      <c r="G47" s="1260">
        <f t="shared" si="3"/>
        <v>1450</v>
      </c>
    </row>
    <row r="48" spans="1:7" ht="15">
      <c r="A48" s="1131" t="s">
        <v>301</v>
      </c>
      <c r="B48" s="1131">
        <v>601</v>
      </c>
      <c r="C48" s="1266">
        <v>601</v>
      </c>
      <c r="D48" s="1212">
        <v>400</v>
      </c>
      <c r="E48" s="1248">
        <v>400</v>
      </c>
      <c r="F48" s="1277">
        <f t="shared" si="2"/>
        <v>1001</v>
      </c>
      <c r="G48" s="1260">
        <f t="shared" si="3"/>
        <v>1001</v>
      </c>
    </row>
    <row r="49" spans="1:7" ht="15">
      <c r="A49" s="1131" t="s">
        <v>291</v>
      </c>
      <c r="B49" s="1131">
        <v>1343</v>
      </c>
      <c r="C49" s="1266">
        <v>1343</v>
      </c>
      <c r="D49" s="1212">
        <v>167</v>
      </c>
      <c r="E49" s="1248">
        <v>167</v>
      </c>
      <c r="F49" s="1277">
        <f t="shared" si="2"/>
        <v>1510</v>
      </c>
      <c r="G49" s="1260">
        <f t="shared" si="3"/>
        <v>1510</v>
      </c>
    </row>
    <row r="50" spans="1:7" ht="15">
      <c r="A50" s="1127" t="s">
        <v>300</v>
      </c>
      <c r="B50" s="1131">
        <v>1373</v>
      </c>
      <c r="C50" s="1266">
        <v>1373</v>
      </c>
      <c r="D50" s="1212">
        <v>169</v>
      </c>
      <c r="E50" s="1248">
        <v>169</v>
      </c>
      <c r="F50" s="1277">
        <f t="shared" si="2"/>
        <v>1542</v>
      </c>
      <c r="G50" s="1260">
        <f t="shared" si="3"/>
        <v>1542</v>
      </c>
    </row>
    <row r="51" spans="1:7" ht="15.75" thickBot="1">
      <c r="A51" s="1131" t="s">
        <v>290</v>
      </c>
      <c r="B51" s="1178">
        <v>1173</v>
      </c>
      <c r="C51" s="1267">
        <v>1173</v>
      </c>
      <c r="D51" s="1246">
        <v>105</v>
      </c>
      <c r="E51" s="1250">
        <v>105</v>
      </c>
      <c r="F51" s="1278">
        <f t="shared" si="2"/>
        <v>1278</v>
      </c>
      <c r="G51" s="1261">
        <f t="shared" si="3"/>
        <v>1278</v>
      </c>
    </row>
    <row r="52" spans="1:7" s="1125" customFormat="1" ht="16.5" thickBot="1">
      <c r="A52" s="1221" t="s">
        <v>627</v>
      </c>
      <c r="B52" s="1224">
        <f aca="true" t="shared" si="4" ref="B52:G52">SUM(B34:B51)</f>
        <v>18331</v>
      </c>
      <c r="C52" s="1228">
        <f t="shared" si="4"/>
        <v>18331</v>
      </c>
      <c r="D52" s="1224">
        <f t="shared" si="4"/>
        <v>2815</v>
      </c>
      <c r="E52" s="1273">
        <f t="shared" si="4"/>
        <v>2815</v>
      </c>
      <c r="F52" s="1226">
        <f t="shared" si="4"/>
        <v>21146</v>
      </c>
      <c r="G52" s="1262">
        <f t="shared" si="4"/>
        <v>21146</v>
      </c>
    </row>
    <row r="54" ht="15">
      <c r="G54" s="1361" t="s">
        <v>321</v>
      </c>
    </row>
    <row r="55" ht="15">
      <c r="G55" s="1122" t="s">
        <v>264</v>
      </c>
    </row>
    <row r="56" ht="15">
      <c r="G56" s="1156" t="s">
        <v>386</v>
      </c>
    </row>
    <row r="57" spans="5:7" ht="16.5" thickBot="1">
      <c r="E57" s="1152"/>
      <c r="G57" s="1156"/>
    </row>
    <row r="58" spans="1:7" ht="16.5" thickBot="1">
      <c r="A58" s="1205" t="s">
        <v>277</v>
      </c>
      <c r="B58" s="1401" t="s">
        <v>298</v>
      </c>
      <c r="C58" s="1402"/>
      <c r="D58" s="1207"/>
      <c r="E58" s="1206" t="s">
        <v>297</v>
      </c>
      <c r="F58" s="1271"/>
      <c r="G58" s="1208" t="s">
        <v>627</v>
      </c>
    </row>
    <row r="59" spans="1:7" ht="16.5" thickBot="1">
      <c r="A59" s="1190" t="s">
        <v>296</v>
      </c>
      <c r="B59" s="1209" t="s">
        <v>295</v>
      </c>
      <c r="C59" s="1192" t="s">
        <v>294</v>
      </c>
      <c r="D59" s="1191" t="s">
        <v>295</v>
      </c>
      <c r="E59" s="1193" t="s">
        <v>294</v>
      </c>
      <c r="F59" s="1192" t="s">
        <v>295</v>
      </c>
      <c r="G59" s="1210" t="s">
        <v>294</v>
      </c>
    </row>
    <row r="60" spans="1:7" ht="15">
      <c r="A60" s="1151" t="s">
        <v>317</v>
      </c>
      <c r="B60" s="1144">
        <v>15812</v>
      </c>
      <c r="C60" s="1142">
        <v>15812</v>
      </c>
      <c r="D60" s="1143">
        <v>800</v>
      </c>
      <c r="E60" s="1155">
        <v>800</v>
      </c>
      <c r="F60" s="1293">
        <f aca="true" t="shared" si="5" ref="F60:G62">SUM(B60+D60)</f>
        <v>16612</v>
      </c>
      <c r="G60" s="1218">
        <f t="shared" si="5"/>
        <v>16612</v>
      </c>
    </row>
    <row r="61" spans="1:7" ht="15">
      <c r="A61" s="1150" t="s">
        <v>316</v>
      </c>
      <c r="B61" s="1130">
        <v>4082</v>
      </c>
      <c r="C61" s="1140">
        <v>4082</v>
      </c>
      <c r="D61" s="1128">
        <v>650</v>
      </c>
      <c r="E61" s="1154">
        <v>650</v>
      </c>
      <c r="F61" s="1294">
        <f t="shared" si="5"/>
        <v>4732</v>
      </c>
      <c r="G61" s="1219">
        <f t="shared" si="5"/>
        <v>4732</v>
      </c>
    </row>
    <row r="62" spans="1:7" ht="15.75" thickBot="1">
      <c r="A62" s="1150" t="s">
        <v>1374</v>
      </c>
      <c r="B62" s="1126">
        <v>9282</v>
      </c>
      <c r="C62" s="1287">
        <v>9282</v>
      </c>
      <c r="D62" s="1147">
        <v>710</v>
      </c>
      <c r="E62" s="1148">
        <v>710</v>
      </c>
      <c r="F62" s="1295">
        <f t="shared" si="5"/>
        <v>9992</v>
      </c>
      <c r="G62" s="1220">
        <f t="shared" si="5"/>
        <v>9992</v>
      </c>
    </row>
    <row r="63" spans="1:7" s="1125" customFormat="1" ht="16.5" thickBot="1">
      <c r="A63" s="1221" t="s">
        <v>627</v>
      </c>
      <c r="B63" s="1227">
        <f aca="true" t="shared" si="6" ref="B63:G63">SUM(B60:B62)</f>
        <v>29176</v>
      </c>
      <c r="C63" s="1228">
        <f t="shared" si="6"/>
        <v>29176</v>
      </c>
      <c r="D63" s="1224">
        <f t="shared" si="6"/>
        <v>2160</v>
      </c>
      <c r="E63" s="1223">
        <f t="shared" si="6"/>
        <v>2160</v>
      </c>
      <c r="F63" s="1292">
        <f t="shared" si="6"/>
        <v>31336</v>
      </c>
      <c r="G63" s="1225">
        <f t="shared" si="6"/>
        <v>31336</v>
      </c>
    </row>
    <row r="65" ht="16.5" thickBot="1">
      <c r="E65" s="1152"/>
    </row>
    <row r="66" spans="1:7" ht="16.5" thickBot="1">
      <c r="A66" s="1194" t="s">
        <v>315</v>
      </c>
      <c r="B66" s="1401" t="s">
        <v>298</v>
      </c>
      <c r="C66" s="1402"/>
      <c r="D66" s="1230"/>
      <c r="E66" s="1229" t="s">
        <v>297</v>
      </c>
      <c r="F66" s="1208"/>
      <c r="G66" s="1208" t="s">
        <v>627</v>
      </c>
    </row>
    <row r="67" spans="1:7" ht="16.5" thickBot="1">
      <c r="A67" s="1231" t="s">
        <v>296</v>
      </c>
      <c r="B67" s="1232" t="s">
        <v>295</v>
      </c>
      <c r="C67" s="1192" t="s">
        <v>294</v>
      </c>
      <c r="D67" s="1233" t="s">
        <v>295</v>
      </c>
      <c r="E67" s="1243" t="s">
        <v>294</v>
      </c>
      <c r="F67" s="1234" t="s">
        <v>295</v>
      </c>
      <c r="G67" s="1274" t="s">
        <v>294</v>
      </c>
    </row>
    <row r="68" spans="1:7" ht="15">
      <c r="A68" s="1151" t="s">
        <v>1231</v>
      </c>
      <c r="B68" s="1136">
        <v>7529</v>
      </c>
      <c r="C68" s="1286">
        <v>7529</v>
      </c>
      <c r="D68" s="1134">
        <v>2740</v>
      </c>
      <c r="E68" s="1244">
        <v>2740</v>
      </c>
      <c r="F68" s="1240">
        <f>SUM(B68+D68)</f>
        <v>10269</v>
      </c>
      <c r="G68" s="1275">
        <f>SUM(C68+E68)</f>
        <v>10269</v>
      </c>
    </row>
    <row r="69" spans="1:7" ht="15.75" thickBot="1">
      <c r="A69" s="1150" t="s">
        <v>314</v>
      </c>
      <c r="B69" s="1149">
        <v>3488</v>
      </c>
      <c r="C69" s="1153">
        <v>3488</v>
      </c>
      <c r="D69" s="1147">
        <v>660</v>
      </c>
      <c r="E69" s="1245">
        <v>660</v>
      </c>
      <c r="F69" s="1296">
        <f>SUM(B69+D69)</f>
        <v>4148</v>
      </c>
      <c r="G69" s="1261">
        <f>SUM(C69+E69)</f>
        <v>4148</v>
      </c>
    </row>
    <row r="70" spans="1:7" s="1125" customFormat="1" ht="16.5" thickBot="1">
      <c r="A70" s="1221" t="s">
        <v>627</v>
      </c>
      <c r="B70" s="1198">
        <f>SUM(B68:B69)</f>
        <v>11017</v>
      </c>
      <c r="C70" s="1228">
        <f>SUM(C68:C69)</f>
        <v>11017</v>
      </c>
      <c r="D70" s="1227">
        <f>SUM(D68:D69)</f>
        <v>3400</v>
      </c>
      <c r="E70" s="1199">
        <f>SUM(E68:E69)</f>
        <v>3400</v>
      </c>
      <c r="F70" s="1226">
        <f>SUM(F68:F69)</f>
        <v>14417</v>
      </c>
      <c r="G70" s="1262">
        <f>SUM(C70+E70)</f>
        <v>14417</v>
      </c>
    </row>
    <row r="71" ht="15">
      <c r="F71" s="1146"/>
    </row>
    <row r="72" ht="15.75" thickBot="1">
      <c r="F72" s="1146"/>
    </row>
    <row r="73" spans="1:7" ht="16.5" thickBot="1">
      <c r="A73" s="1194" t="s">
        <v>313</v>
      </c>
      <c r="B73" s="1401" t="s">
        <v>298</v>
      </c>
      <c r="C73" s="1402"/>
      <c r="D73" s="1207"/>
      <c r="E73" s="1206" t="s">
        <v>297</v>
      </c>
      <c r="F73" s="1271"/>
      <c r="G73" s="1208" t="s">
        <v>627</v>
      </c>
    </row>
    <row r="74" spans="1:7" ht="16.5" thickBot="1">
      <c r="A74" s="1190" t="s">
        <v>296</v>
      </c>
      <c r="B74" s="1209" t="s">
        <v>295</v>
      </c>
      <c r="C74" s="1192" t="s">
        <v>294</v>
      </c>
      <c r="D74" s="1191" t="s">
        <v>295</v>
      </c>
      <c r="E74" s="1251" t="s">
        <v>294</v>
      </c>
      <c r="F74" s="1192" t="s">
        <v>295</v>
      </c>
      <c r="G74" s="1210" t="s">
        <v>294</v>
      </c>
    </row>
    <row r="75" spans="1:7" ht="15">
      <c r="A75" s="1145" t="s">
        <v>1216</v>
      </c>
      <c r="B75" s="1145">
        <v>4271</v>
      </c>
      <c r="C75" s="1265">
        <v>4271</v>
      </c>
      <c r="D75" s="1217">
        <v>834</v>
      </c>
      <c r="E75" s="1272">
        <v>834</v>
      </c>
      <c r="F75" s="1257">
        <f aca="true" t="shared" si="7" ref="F75:F92">B75+D75</f>
        <v>5105</v>
      </c>
      <c r="G75" s="1218">
        <f aca="true" t="shared" si="8" ref="G75:G92">C75+E75</f>
        <v>5105</v>
      </c>
    </row>
    <row r="76" spans="1:7" ht="15">
      <c r="A76" s="1131" t="s">
        <v>293</v>
      </c>
      <c r="B76" s="1131">
        <v>1458</v>
      </c>
      <c r="C76" s="1266">
        <v>1458</v>
      </c>
      <c r="D76" s="1141">
        <v>183</v>
      </c>
      <c r="E76" s="1289">
        <v>183</v>
      </c>
      <c r="F76" s="1241">
        <f t="shared" si="7"/>
        <v>1641</v>
      </c>
      <c r="G76" s="1219">
        <f t="shared" si="8"/>
        <v>1641</v>
      </c>
    </row>
    <row r="77" spans="1:7" ht="15">
      <c r="A77" s="1131" t="s">
        <v>312</v>
      </c>
      <c r="B77" s="1131">
        <v>3896</v>
      </c>
      <c r="C77" s="1266">
        <v>3896</v>
      </c>
      <c r="D77" s="1141">
        <v>195</v>
      </c>
      <c r="E77" s="1289">
        <v>195</v>
      </c>
      <c r="F77" s="1241">
        <f t="shared" si="7"/>
        <v>4091</v>
      </c>
      <c r="G77" s="1219">
        <f t="shared" si="8"/>
        <v>4091</v>
      </c>
    </row>
    <row r="78" spans="1:7" ht="15">
      <c r="A78" s="1131" t="s">
        <v>292</v>
      </c>
      <c r="B78" s="1131">
        <v>4887</v>
      </c>
      <c r="C78" s="1266">
        <v>4887</v>
      </c>
      <c r="D78" s="1238">
        <v>816</v>
      </c>
      <c r="E78" s="1290">
        <v>816</v>
      </c>
      <c r="F78" s="1241">
        <f t="shared" si="7"/>
        <v>5703</v>
      </c>
      <c r="G78" s="1219">
        <f t="shared" si="8"/>
        <v>5703</v>
      </c>
    </row>
    <row r="79" spans="1:7" ht="15">
      <c r="A79" s="1131" t="s">
        <v>311</v>
      </c>
      <c r="B79" s="1131">
        <v>14137</v>
      </c>
      <c r="C79" s="1266">
        <v>14137</v>
      </c>
      <c r="D79" s="1238">
        <v>2500</v>
      </c>
      <c r="E79" s="1290">
        <v>2500</v>
      </c>
      <c r="F79" s="1241">
        <f t="shared" si="7"/>
        <v>16637</v>
      </c>
      <c r="G79" s="1219">
        <f t="shared" si="8"/>
        <v>16637</v>
      </c>
    </row>
    <row r="80" spans="1:7" ht="15">
      <c r="A80" s="1131" t="s">
        <v>310</v>
      </c>
      <c r="B80" s="1131">
        <v>6505</v>
      </c>
      <c r="C80" s="1266">
        <v>6505</v>
      </c>
      <c r="D80" s="1141">
        <v>1198</v>
      </c>
      <c r="E80" s="1289">
        <v>1198</v>
      </c>
      <c r="F80" s="1241">
        <f t="shared" si="7"/>
        <v>7703</v>
      </c>
      <c r="G80" s="1219">
        <f t="shared" si="8"/>
        <v>7703</v>
      </c>
    </row>
    <row r="81" spans="1:7" ht="15">
      <c r="A81" s="1131" t="s">
        <v>309</v>
      </c>
      <c r="B81" s="1131">
        <v>11609</v>
      </c>
      <c r="C81" s="1266">
        <v>11609</v>
      </c>
      <c r="D81" s="1141">
        <v>2320</v>
      </c>
      <c r="E81" s="1289">
        <v>2320</v>
      </c>
      <c r="F81" s="1241">
        <f t="shared" si="7"/>
        <v>13929</v>
      </c>
      <c r="G81" s="1219">
        <f t="shared" si="8"/>
        <v>13929</v>
      </c>
    </row>
    <row r="82" spans="1:7" ht="15">
      <c r="A82" s="1131" t="s">
        <v>308</v>
      </c>
      <c r="B82" s="1131">
        <v>14137</v>
      </c>
      <c r="C82" s="1266">
        <v>14137</v>
      </c>
      <c r="D82" s="1141">
        <v>2610</v>
      </c>
      <c r="E82" s="1289">
        <v>2610</v>
      </c>
      <c r="F82" s="1241">
        <f t="shared" si="7"/>
        <v>16747</v>
      </c>
      <c r="G82" s="1219">
        <f t="shared" si="8"/>
        <v>16747</v>
      </c>
    </row>
    <row r="83" spans="1:7" ht="15">
      <c r="A83" s="1131" t="s">
        <v>307</v>
      </c>
      <c r="B83" s="1131">
        <v>13450</v>
      </c>
      <c r="C83" s="1266">
        <v>13450</v>
      </c>
      <c r="D83" s="1141">
        <v>2590</v>
      </c>
      <c r="E83" s="1289">
        <v>2590</v>
      </c>
      <c r="F83" s="1241">
        <f t="shared" si="7"/>
        <v>16040</v>
      </c>
      <c r="G83" s="1219">
        <f t="shared" si="8"/>
        <v>16040</v>
      </c>
    </row>
    <row r="84" spans="1:7" ht="15">
      <c r="A84" s="1131" t="s">
        <v>306</v>
      </c>
      <c r="B84" s="1131">
        <v>15673</v>
      </c>
      <c r="C84" s="1266">
        <v>15673</v>
      </c>
      <c r="D84" s="1141">
        <v>3190</v>
      </c>
      <c r="E84" s="1289">
        <v>3190</v>
      </c>
      <c r="F84" s="1241">
        <f t="shared" si="7"/>
        <v>18863</v>
      </c>
      <c r="G84" s="1219">
        <f t="shared" si="8"/>
        <v>18863</v>
      </c>
    </row>
    <row r="85" spans="1:7" ht="15">
      <c r="A85" s="1131" t="s">
        <v>305</v>
      </c>
      <c r="B85" s="1131">
        <v>14018</v>
      </c>
      <c r="C85" s="1266">
        <v>14018</v>
      </c>
      <c r="D85" s="1141">
        <v>6240</v>
      </c>
      <c r="E85" s="1289">
        <v>6240</v>
      </c>
      <c r="F85" s="1241">
        <f t="shared" si="7"/>
        <v>20258</v>
      </c>
      <c r="G85" s="1219">
        <f t="shared" si="8"/>
        <v>20258</v>
      </c>
    </row>
    <row r="86" spans="1:7" ht="15">
      <c r="A86" s="1131" t="s">
        <v>304</v>
      </c>
      <c r="B86" s="1131">
        <v>1692</v>
      </c>
      <c r="C86" s="1266">
        <v>1692</v>
      </c>
      <c r="D86" s="1141">
        <v>319</v>
      </c>
      <c r="E86" s="1289">
        <v>319</v>
      </c>
      <c r="F86" s="1241">
        <f t="shared" si="7"/>
        <v>2011</v>
      </c>
      <c r="G86" s="1219">
        <f t="shared" si="8"/>
        <v>2011</v>
      </c>
    </row>
    <row r="87" spans="1:7" ht="15">
      <c r="A87" s="1131" t="s">
        <v>303</v>
      </c>
      <c r="B87" s="1131">
        <v>3338</v>
      </c>
      <c r="C87" s="1266">
        <v>3338</v>
      </c>
      <c r="D87" s="1141">
        <v>618</v>
      </c>
      <c r="E87" s="1289">
        <v>618</v>
      </c>
      <c r="F87" s="1241">
        <f t="shared" si="7"/>
        <v>3956</v>
      </c>
      <c r="G87" s="1219">
        <f t="shared" si="8"/>
        <v>3956</v>
      </c>
    </row>
    <row r="88" spans="1:7" ht="15">
      <c r="A88" s="1131" t="s">
        <v>302</v>
      </c>
      <c r="B88" s="1131">
        <v>15057</v>
      </c>
      <c r="C88" s="1266">
        <v>15057</v>
      </c>
      <c r="D88" s="1141">
        <v>3920</v>
      </c>
      <c r="E88" s="1289">
        <v>3920</v>
      </c>
      <c r="F88" s="1241">
        <f t="shared" si="7"/>
        <v>18977</v>
      </c>
      <c r="G88" s="1219">
        <f t="shared" si="8"/>
        <v>18977</v>
      </c>
    </row>
    <row r="89" spans="1:7" ht="15">
      <c r="A89" s="1131" t="s">
        <v>301</v>
      </c>
      <c r="B89" s="1131">
        <v>7212</v>
      </c>
      <c r="C89" s="1266">
        <v>7212</v>
      </c>
      <c r="D89" s="1141">
        <v>2286</v>
      </c>
      <c r="E89" s="1289">
        <v>2286</v>
      </c>
      <c r="F89" s="1241">
        <f t="shared" si="7"/>
        <v>9498</v>
      </c>
      <c r="G89" s="1219">
        <f t="shared" si="8"/>
        <v>9498</v>
      </c>
    </row>
    <row r="90" spans="1:7" ht="15">
      <c r="A90" s="1131" t="s">
        <v>291</v>
      </c>
      <c r="B90" s="1131">
        <v>13968</v>
      </c>
      <c r="C90" s="1266">
        <v>13968</v>
      </c>
      <c r="D90" s="1141">
        <v>2620</v>
      </c>
      <c r="E90" s="1289">
        <v>2620</v>
      </c>
      <c r="F90" s="1241">
        <f t="shared" si="7"/>
        <v>16588</v>
      </c>
      <c r="G90" s="1219">
        <f t="shared" si="8"/>
        <v>16588</v>
      </c>
    </row>
    <row r="91" spans="1:7" ht="15">
      <c r="A91" s="1131" t="s">
        <v>300</v>
      </c>
      <c r="B91" s="1131">
        <v>9284</v>
      </c>
      <c r="C91" s="1266">
        <v>9284</v>
      </c>
      <c r="D91" s="1141">
        <v>1688</v>
      </c>
      <c r="E91" s="1289">
        <v>1688</v>
      </c>
      <c r="F91" s="1241">
        <f t="shared" si="7"/>
        <v>10972</v>
      </c>
      <c r="G91" s="1219">
        <f t="shared" si="8"/>
        <v>10972</v>
      </c>
    </row>
    <row r="92" spans="1:7" ht="15">
      <c r="A92" s="1131" t="s">
        <v>290</v>
      </c>
      <c r="B92" s="1131">
        <v>8459</v>
      </c>
      <c r="C92" s="1266">
        <v>8459</v>
      </c>
      <c r="D92" s="1141">
        <v>1980</v>
      </c>
      <c r="E92" s="1289">
        <v>1980</v>
      </c>
      <c r="F92" s="1241">
        <f t="shared" si="7"/>
        <v>10439</v>
      </c>
      <c r="G92" s="1219">
        <f t="shared" si="8"/>
        <v>10439</v>
      </c>
    </row>
    <row r="93" spans="1:7" ht="15.75" thickBot="1">
      <c r="A93" s="1283" t="s">
        <v>299</v>
      </c>
      <c r="B93" s="1139">
        <v>0</v>
      </c>
      <c r="C93" s="1285">
        <v>0</v>
      </c>
      <c r="D93" s="1239">
        <v>0</v>
      </c>
      <c r="E93" s="1291">
        <v>0</v>
      </c>
      <c r="F93" s="1242">
        <f>B93+D93</f>
        <v>0</v>
      </c>
      <c r="G93" s="1279">
        <v>0</v>
      </c>
    </row>
    <row r="94" spans="1:7" s="1125" customFormat="1" ht="16.5" thickBot="1">
      <c r="A94" s="1284" t="s">
        <v>627</v>
      </c>
      <c r="B94" s="1222">
        <f>SUM(B75:B93)</f>
        <v>163051</v>
      </c>
      <c r="C94" s="1228">
        <f>SUM(C75:C93)</f>
        <v>163051</v>
      </c>
      <c r="D94" s="1224">
        <f>SUM(D75:D93)</f>
        <v>36107</v>
      </c>
      <c r="E94" s="1256">
        <f>SUM(E75:E93)</f>
        <v>36107</v>
      </c>
      <c r="F94" s="1226">
        <f>B94+D94</f>
        <v>199158</v>
      </c>
      <c r="G94" s="1225">
        <f>SUM(G75:G93)</f>
        <v>199158</v>
      </c>
    </row>
    <row r="95" ht="15.75" thickBot="1">
      <c r="G95" s="1138"/>
    </row>
    <row r="96" spans="1:8" ht="16.5" thickBot="1">
      <c r="A96" s="1288" t="s">
        <v>280</v>
      </c>
      <c r="B96" s="1401" t="s">
        <v>298</v>
      </c>
      <c r="C96" s="1402"/>
      <c r="D96" s="1207"/>
      <c r="E96" s="1206" t="s">
        <v>297</v>
      </c>
      <c r="F96" s="1271"/>
      <c r="G96" s="1208" t="s">
        <v>627</v>
      </c>
      <c r="H96" s="1132"/>
    </row>
    <row r="97" spans="1:8" ht="16.5" thickBot="1">
      <c r="A97" s="1190" t="s">
        <v>296</v>
      </c>
      <c r="B97" s="1209" t="s">
        <v>295</v>
      </c>
      <c r="C97" s="1192" t="s">
        <v>294</v>
      </c>
      <c r="D97" s="1191" t="s">
        <v>295</v>
      </c>
      <c r="E97" s="1193" t="s">
        <v>294</v>
      </c>
      <c r="F97" s="1210" t="s">
        <v>295</v>
      </c>
      <c r="G97" s="1210" t="s">
        <v>294</v>
      </c>
      <c r="H97" s="1132"/>
    </row>
    <row r="98" spans="1:8" ht="15">
      <c r="A98" s="1137" t="s">
        <v>1216</v>
      </c>
      <c r="B98" s="1137">
        <v>1305</v>
      </c>
      <c r="C98" s="1265">
        <v>1305</v>
      </c>
      <c r="D98" s="1235">
        <v>165</v>
      </c>
      <c r="E98" s="1214">
        <v>165</v>
      </c>
      <c r="F98" s="1280">
        <f aca="true" t="shared" si="9" ref="F98:G104">B98+D98</f>
        <v>1470</v>
      </c>
      <c r="G98" s="1280">
        <f t="shared" si="9"/>
        <v>1470</v>
      </c>
      <c r="H98" s="1132"/>
    </row>
    <row r="99" spans="1:8" ht="15">
      <c r="A99" s="1131" t="s">
        <v>293</v>
      </c>
      <c r="B99" s="1131">
        <v>696</v>
      </c>
      <c r="C99" s="1266">
        <v>696</v>
      </c>
      <c r="D99" s="1212">
        <v>155</v>
      </c>
      <c r="E99" s="1215">
        <v>155</v>
      </c>
      <c r="F99" s="1281">
        <f t="shared" si="9"/>
        <v>851</v>
      </c>
      <c r="G99" s="1281">
        <f t="shared" si="9"/>
        <v>851</v>
      </c>
      <c r="H99" s="1132"/>
    </row>
    <row r="100" spans="1:8" ht="15">
      <c r="A100" s="1131" t="s">
        <v>292</v>
      </c>
      <c r="B100" s="1131">
        <v>1821</v>
      </c>
      <c r="C100" s="1266">
        <v>1821</v>
      </c>
      <c r="D100" s="1212">
        <v>518</v>
      </c>
      <c r="E100" s="1215">
        <v>518</v>
      </c>
      <c r="F100" s="1281">
        <f t="shared" si="9"/>
        <v>2339</v>
      </c>
      <c r="G100" s="1281">
        <f t="shared" si="9"/>
        <v>2339</v>
      </c>
      <c r="H100" s="1132"/>
    </row>
    <row r="101" spans="1:8" ht="15" hidden="1">
      <c r="A101" s="1131" t="s">
        <v>291</v>
      </c>
      <c r="B101" s="1131"/>
      <c r="C101" s="1266"/>
      <c r="D101" s="1213"/>
      <c r="E101" s="1216"/>
      <c r="F101" s="1281">
        <f t="shared" si="9"/>
        <v>0</v>
      </c>
      <c r="G101" s="1281">
        <f t="shared" si="9"/>
        <v>0</v>
      </c>
      <c r="H101" s="1124"/>
    </row>
    <row r="102" spans="1:7" ht="15">
      <c r="A102" s="1131" t="s">
        <v>291</v>
      </c>
      <c r="B102" s="1131">
        <v>1972</v>
      </c>
      <c r="C102" s="1266">
        <v>1972</v>
      </c>
      <c r="D102" s="1213">
        <v>453</v>
      </c>
      <c r="E102" s="1216">
        <v>453</v>
      </c>
      <c r="F102" s="1281">
        <f t="shared" si="9"/>
        <v>2425</v>
      </c>
      <c r="G102" s="1281">
        <f t="shared" si="9"/>
        <v>2425</v>
      </c>
    </row>
    <row r="103" spans="1:7" ht="15.75" thickBot="1">
      <c r="A103" s="1127" t="s">
        <v>290</v>
      </c>
      <c r="B103" s="1178">
        <v>1766</v>
      </c>
      <c r="C103" s="1267">
        <v>1766</v>
      </c>
      <c r="D103" s="1236">
        <v>240</v>
      </c>
      <c r="E103" s="1237">
        <v>240</v>
      </c>
      <c r="F103" s="1282">
        <f t="shared" si="9"/>
        <v>2006</v>
      </c>
      <c r="G103" s="1282">
        <f t="shared" si="9"/>
        <v>2006</v>
      </c>
    </row>
    <row r="104" spans="1:7" s="1125" customFormat="1" ht="16.5" thickBot="1">
      <c r="A104" s="1284" t="s">
        <v>627</v>
      </c>
      <c r="B104" s="1227">
        <f>SUM(B98:B103)</f>
        <v>7560</v>
      </c>
      <c r="C104" s="1228">
        <f>SUM(C98:C103)</f>
        <v>7560</v>
      </c>
      <c r="D104" s="1227">
        <f>SUM(D98:D103)</f>
        <v>1531</v>
      </c>
      <c r="E104" s="1223">
        <f>SUM(E98:E103)</f>
        <v>1531</v>
      </c>
      <c r="F104" s="1262">
        <f t="shared" si="9"/>
        <v>9091</v>
      </c>
      <c r="G104" s="1262">
        <f t="shared" si="9"/>
        <v>9091</v>
      </c>
    </row>
    <row r="119" ht="15">
      <c r="A119" s="1124"/>
    </row>
    <row r="120" ht="15">
      <c r="A120" s="1124"/>
    </row>
    <row r="121" ht="15">
      <c r="A121" s="1124"/>
    </row>
  </sheetData>
  <sheetProtection/>
  <mergeCells count="7">
    <mergeCell ref="B96:C96"/>
    <mergeCell ref="A4:F4"/>
    <mergeCell ref="B8:C8"/>
    <mergeCell ref="B32:C32"/>
    <mergeCell ref="B66:C66"/>
    <mergeCell ref="B58:C58"/>
    <mergeCell ref="B73:C73"/>
  </mergeCells>
  <printOptions/>
  <pageMargins left="0.47" right="0.1968503937007874" top="0.63" bottom="0" header="0.52" footer="0.5118110236220472"/>
  <pageSetup horizontalDpi="600" verticalDpi="600" orientation="portrait" paperSize="9" scale="97" r:id="rId1"/>
  <rowBreaks count="1" manualBreakCount="1">
    <brk id="52" max="255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4:G105"/>
  <sheetViews>
    <sheetView zoomScalePageLayoutView="0" workbookViewId="0" topLeftCell="A7">
      <selection activeCell="F39" sqref="F39"/>
    </sheetView>
  </sheetViews>
  <sheetFormatPr defaultColWidth="9.00390625" defaultRowHeight="12.75"/>
  <cols>
    <col min="1" max="1" width="47.875" style="1123" customWidth="1"/>
    <col min="2" max="2" width="11.125" style="1161" customWidth="1"/>
    <col min="3" max="3" width="11.625" style="1161" customWidth="1"/>
    <col min="4" max="7" width="9.75390625" style="1161" customWidth="1"/>
    <col min="8" max="16384" width="9.125" style="1123" customWidth="1"/>
  </cols>
  <sheetData>
    <row r="2" ht="15" hidden="1"/>
    <row r="3" ht="15" hidden="1"/>
    <row r="4" spans="1:7" ht="15.75" customHeight="1">
      <c r="A4" s="1116" t="s">
        <v>167</v>
      </c>
      <c r="F4" s="1408" t="s">
        <v>321</v>
      </c>
      <c r="G4" s="1408"/>
    </row>
    <row r="5" spans="6:7" ht="15">
      <c r="F5" s="1408" t="s">
        <v>265</v>
      </c>
      <c r="G5" s="1408"/>
    </row>
    <row r="6" spans="6:7" ht="15">
      <c r="F6" s="1387" t="s">
        <v>386</v>
      </c>
      <c r="G6" s="1387"/>
    </row>
    <row r="7" ht="15.75" thickBot="1">
      <c r="G7" s="1156"/>
    </row>
    <row r="8" spans="1:7" ht="16.5" thickBot="1">
      <c r="A8" s="1194" t="s">
        <v>281</v>
      </c>
      <c r="B8" s="1401" t="s">
        <v>298</v>
      </c>
      <c r="C8" s="1402"/>
      <c r="D8" s="1401" t="s">
        <v>297</v>
      </c>
      <c r="E8" s="1402"/>
      <c r="F8" s="1401" t="s">
        <v>627</v>
      </c>
      <c r="G8" s="1402"/>
    </row>
    <row r="9" spans="1:7" ht="16.5" thickBot="1">
      <c r="A9" s="1190" t="s">
        <v>296</v>
      </c>
      <c r="B9" s="1191" t="s">
        <v>295</v>
      </c>
      <c r="C9" s="1192" t="s">
        <v>294</v>
      </c>
      <c r="D9" s="1191" t="s">
        <v>295</v>
      </c>
      <c r="E9" s="1192" t="s">
        <v>294</v>
      </c>
      <c r="F9" s="1191" t="s">
        <v>295</v>
      </c>
      <c r="G9" s="1192" t="s">
        <v>294</v>
      </c>
    </row>
    <row r="10" spans="1:7" ht="16.5" customHeight="1">
      <c r="A10" s="1189" t="s">
        <v>367</v>
      </c>
      <c r="B10" s="1188">
        <v>2483</v>
      </c>
      <c r="C10" s="1286">
        <v>2483</v>
      </c>
      <c r="D10" s="1187">
        <v>305</v>
      </c>
      <c r="E10" s="1343">
        <v>305</v>
      </c>
      <c r="F10" s="1187">
        <v>2788</v>
      </c>
      <c r="G10" s="1142">
        <v>2788</v>
      </c>
    </row>
    <row r="11" spans="1:7" ht="15.75">
      <c r="A11" s="1186" t="s">
        <v>366</v>
      </c>
      <c r="B11" s="1184">
        <v>1683</v>
      </c>
      <c r="C11" s="1140">
        <v>1683</v>
      </c>
      <c r="D11" s="1184">
        <v>429</v>
      </c>
      <c r="E11" s="1344">
        <v>429</v>
      </c>
      <c r="F11" s="1184">
        <v>2112</v>
      </c>
      <c r="G11" s="1140">
        <v>2112</v>
      </c>
    </row>
    <row r="12" spans="1:7" ht="15.75">
      <c r="A12" s="1186" t="s">
        <v>365</v>
      </c>
      <c r="B12" s="1184">
        <v>1455</v>
      </c>
      <c r="C12" s="1140">
        <v>1455</v>
      </c>
      <c r="D12" s="1184">
        <v>240</v>
      </c>
      <c r="E12" s="1344">
        <v>240</v>
      </c>
      <c r="F12" s="1184">
        <v>1695</v>
      </c>
      <c r="G12" s="1140">
        <v>1695</v>
      </c>
    </row>
    <row r="13" spans="1:7" ht="15.75">
      <c r="A13" s="1186" t="s">
        <v>364</v>
      </c>
      <c r="B13" s="1184">
        <v>1355</v>
      </c>
      <c r="C13" s="1140">
        <v>1355</v>
      </c>
      <c r="D13" s="1184">
        <v>643</v>
      </c>
      <c r="E13" s="1344">
        <v>643</v>
      </c>
      <c r="F13" s="1184">
        <f aca="true" t="shared" si="0" ref="F13:F31">C13+E13</f>
        <v>1998</v>
      </c>
      <c r="G13" s="1140">
        <f aca="true" t="shared" si="1" ref="G13:G31">B13+D13</f>
        <v>1998</v>
      </c>
    </row>
    <row r="14" spans="1:7" ht="15.75">
      <c r="A14" s="1186" t="s">
        <v>363</v>
      </c>
      <c r="B14" s="1184">
        <v>949</v>
      </c>
      <c r="C14" s="1140">
        <v>949</v>
      </c>
      <c r="D14" s="1184">
        <v>240</v>
      </c>
      <c r="E14" s="1344">
        <v>240</v>
      </c>
      <c r="F14" s="1184">
        <f t="shared" si="0"/>
        <v>1189</v>
      </c>
      <c r="G14" s="1140">
        <f t="shared" si="1"/>
        <v>1189</v>
      </c>
    </row>
    <row r="15" spans="1:7" ht="15.75">
      <c r="A15" s="1186" t="s">
        <v>362</v>
      </c>
      <c r="B15" s="1184">
        <v>1141</v>
      </c>
      <c r="C15" s="1140">
        <v>1141</v>
      </c>
      <c r="D15" s="1184">
        <v>200</v>
      </c>
      <c r="E15" s="1344">
        <v>200</v>
      </c>
      <c r="F15" s="1184">
        <f t="shared" si="0"/>
        <v>1341</v>
      </c>
      <c r="G15" s="1140">
        <f t="shared" si="1"/>
        <v>1341</v>
      </c>
    </row>
    <row r="16" spans="1:7" ht="15.75">
      <c r="A16" s="1186" t="s">
        <v>361</v>
      </c>
      <c r="B16" s="1184">
        <v>3120</v>
      </c>
      <c r="C16" s="1140">
        <v>3120</v>
      </c>
      <c r="D16" s="1184">
        <v>560</v>
      </c>
      <c r="E16" s="1344">
        <v>560</v>
      </c>
      <c r="F16" s="1184">
        <f t="shared" si="0"/>
        <v>3680</v>
      </c>
      <c r="G16" s="1140">
        <f t="shared" si="1"/>
        <v>3680</v>
      </c>
    </row>
    <row r="17" spans="1:7" ht="15.75">
      <c r="A17" s="1186" t="s">
        <v>360</v>
      </c>
      <c r="B17" s="1184">
        <v>1588</v>
      </c>
      <c r="C17" s="1140">
        <v>1588</v>
      </c>
      <c r="D17" s="1184">
        <v>223</v>
      </c>
      <c r="E17" s="1344">
        <v>223</v>
      </c>
      <c r="F17" s="1184">
        <f t="shared" si="0"/>
        <v>1811</v>
      </c>
      <c r="G17" s="1140">
        <f t="shared" si="1"/>
        <v>1811</v>
      </c>
    </row>
    <row r="18" spans="1:7" ht="15.75">
      <c r="A18" s="1186" t="s">
        <v>359</v>
      </c>
      <c r="B18" s="1184">
        <v>2537</v>
      </c>
      <c r="C18" s="1140">
        <v>2537</v>
      </c>
      <c r="D18" s="1184">
        <v>401</v>
      </c>
      <c r="E18" s="1344">
        <v>401</v>
      </c>
      <c r="F18" s="1184">
        <f t="shared" si="0"/>
        <v>2938</v>
      </c>
      <c r="G18" s="1140">
        <f t="shared" si="1"/>
        <v>2938</v>
      </c>
    </row>
    <row r="19" spans="1:7" ht="15.75">
      <c r="A19" s="1186" t="s">
        <v>358</v>
      </c>
      <c r="B19" s="1184">
        <v>3211</v>
      </c>
      <c r="C19" s="1140">
        <v>3211</v>
      </c>
      <c r="D19" s="1184">
        <v>775</v>
      </c>
      <c r="E19" s="1344">
        <v>775</v>
      </c>
      <c r="F19" s="1184">
        <f t="shared" si="0"/>
        <v>3986</v>
      </c>
      <c r="G19" s="1140">
        <f t="shared" si="1"/>
        <v>3986</v>
      </c>
    </row>
    <row r="20" spans="1:7" ht="15.75">
      <c r="A20" s="1186" t="s">
        <v>357</v>
      </c>
      <c r="B20" s="1184">
        <v>4158</v>
      </c>
      <c r="C20" s="1140">
        <v>4158</v>
      </c>
      <c r="D20" s="1184">
        <v>655</v>
      </c>
      <c r="E20" s="1344">
        <v>655</v>
      </c>
      <c r="F20" s="1184">
        <f t="shared" si="0"/>
        <v>4813</v>
      </c>
      <c r="G20" s="1140">
        <f t="shared" si="1"/>
        <v>4813</v>
      </c>
    </row>
    <row r="21" spans="1:7" ht="15.75">
      <c r="A21" s="1186" t="s">
        <v>356</v>
      </c>
      <c r="B21" s="1184">
        <v>889</v>
      </c>
      <c r="C21" s="1140">
        <v>889</v>
      </c>
      <c r="D21" s="1184">
        <v>115</v>
      </c>
      <c r="E21" s="1344">
        <v>115</v>
      </c>
      <c r="F21" s="1184">
        <f t="shared" si="0"/>
        <v>1004</v>
      </c>
      <c r="G21" s="1140">
        <f t="shared" si="1"/>
        <v>1004</v>
      </c>
    </row>
    <row r="22" spans="1:7" ht="15.75">
      <c r="A22" s="1186" t="s">
        <v>355</v>
      </c>
      <c r="B22" s="1184">
        <v>2432</v>
      </c>
      <c r="C22" s="1140">
        <v>2432</v>
      </c>
      <c r="D22" s="1184">
        <v>370</v>
      </c>
      <c r="E22" s="1344">
        <v>370</v>
      </c>
      <c r="F22" s="1184">
        <f t="shared" si="0"/>
        <v>2802</v>
      </c>
      <c r="G22" s="1140">
        <f t="shared" si="1"/>
        <v>2802</v>
      </c>
    </row>
    <row r="23" spans="1:7" ht="15.75">
      <c r="A23" s="1186" t="s">
        <v>354</v>
      </c>
      <c r="B23" s="1184">
        <v>5884</v>
      </c>
      <c r="C23" s="1140">
        <v>5884</v>
      </c>
      <c r="D23" s="1184">
        <v>1075</v>
      </c>
      <c r="E23" s="1344">
        <v>1075</v>
      </c>
      <c r="F23" s="1184">
        <f t="shared" si="0"/>
        <v>6959</v>
      </c>
      <c r="G23" s="1140">
        <f t="shared" si="1"/>
        <v>6959</v>
      </c>
    </row>
    <row r="24" spans="1:7" ht="15.75">
      <c r="A24" s="1186" t="s">
        <v>353</v>
      </c>
      <c r="B24" s="1184">
        <v>4601</v>
      </c>
      <c r="C24" s="1140">
        <v>4601</v>
      </c>
      <c r="D24" s="1184">
        <v>635</v>
      </c>
      <c r="E24" s="1344">
        <v>635</v>
      </c>
      <c r="F24" s="1184">
        <f t="shared" si="0"/>
        <v>5236</v>
      </c>
      <c r="G24" s="1140">
        <f t="shared" si="1"/>
        <v>5236</v>
      </c>
    </row>
    <row r="25" spans="1:7" ht="15.75">
      <c r="A25" s="1186" t="s">
        <v>352</v>
      </c>
      <c r="B25" s="1184">
        <v>3320</v>
      </c>
      <c r="C25" s="1140">
        <v>3320</v>
      </c>
      <c r="D25" s="1184">
        <v>430</v>
      </c>
      <c r="E25" s="1344">
        <v>430</v>
      </c>
      <c r="F25" s="1184">
        <f t="shared" si="0"/>
        <v>3750</v>
      </c>
      <c r="G25" s="1140">
        <f t="shared" si="1"/>
        <v>3750</v>
      </c>
    </row>
    <row r="26" spans="1:7" ht="15.75">
      <c r="A26" s="1186" t="s">
        <v>351</v>
      </c>
      <c r="B26" s="1184">
        <v>3275</v>
      </c>
      <c r="C26" s="1140">
        <v>3275</v>
      </c>
      <c r="D26" s="1184">
        <v>430</v>
      </c>
      <c r="E26" s="1344">
        <v>430</v>
      </c>
      <c r="F26" s="1184">
        <f t="shared" si="0"/>
        <v>3705</v>
      </c>
      <c r="G26" s="1140">
        <f t="shared" si="1"/>
        <v>3705</v>
      </c>
    </row>
    <row r="27" spans="1:7" ht="15.75">
      <c r="A27" s="1186" t="s">
        <v>350</v>
      </c>
      <c r="B27" s="1184">
        <v>3263</v>
      </c>
      <c r="C27" s="1140">
        <v>3263</v>
      </c>
      <c r="D27" s="1184">
        <v>730</v>
      </c>
      <c r="E27" s="1344">
        <v>730</v>
      </c>
      <c r="F27" s="1184">
        <f t="shared" si="0"/>
        <v>3993</v>
      </c>
      <c r="G27" s="1140">
        <f t="shared" si="1"/>
        <v>3993</v>
      </c>
    </row>
    <row r="28" spans="1:7" ht="15.75">
      <c r="A28" s="1186" t="s">
        <v>349</v>
      </c>
      <c r="B28" s="1184">
        <v>3391</v>
      </c>
      <c r="C28" s="1140">
        <v>3391</v>
      </c>
      <c r="D28" s="1184">
        <v>980</v>
      </c>
      <c r="E28" s="1344">
        <v>980</v>
      </c>
      <c r="F28" s="1184">
        <f t="shared" si="0"/>
        <v>4371</v>
      </c>
      <c r="G28" s="1140">
        <f t="shared" si="1"/>
        <v>4371</v>
      </c>
    </row>
    <row r="29" spans="1:7" ht="15.75">
      <c r="A29" s="1186" t="s">
        <v>348</v>
      </c>
      <c r="B29" s="1184">
        <v>3995</v>
      </c>
      <c r="C29" s="1140">
        <v>3995</v>
      </c>
      <c r="D29" s="1184">
        <v>705</v>
      </c>
      <c r="E29" s="1344">
        <v>705</v>
      </c>
      <c r="F29" s="1184">
        <f t="shared" si="0"/>
        <v>4700</v>
      </c>
      <c r="G29" s="1140">
        <f t="shared" si="1"/>
        <v>4700</v>
      </c>
    </row>
    <row r="30" spans="1:7" ht="15.75">
      <c r="A30" s="1186" t="s">
        <v>347</v>
      </c>
      <c r="B30" s="1185">
        <v>4718</v>
      </c>
      <c r="C30" s="1140">
        <v>4718</v>
      </c>
      <c r="D30" s="1184">
        <v>1070</v>
      </c>
      <c r="E30" s="1345">
        <v>1070</v>
      </c>
      <c r="F30" s="1184">
        <f t="shared" si="0"/>
        <v>5788</v>
      </c>
      <c r="G30" s="1140">
        <f t="shared" si="1"/>
        <v>5788</v>
      </c>
    </row>
    <row r="31" spans="1:7" ht="16.5" thickBot="1">
      <c r="A31" s="1346" t="s">
        <v>346</v>
      </c>
      <c r="B31" s="1185">
        <v>916</v>
      </c>
      <c r="C31" s="1153">
        <v>916</v>
      </c>
      <c r="D31" s="1185">
        <v>130</v>
      </c>
      <c r="E31" s="1345">
        <v>130</v>
      </c>
      <c r="F31" s="1185">
        <f t="shared" si="0"/>
        <v>1046</v>
      </c>
      <c r="G31" s="1153">
        <f t="shared" si="1"/>
        <v>1046</v>
      </c>
    </row>
    <row r="32" spans="1:7" s="1125" customFormat="1" ht="16.5" thickBot="1">
      <c r="A32" s="1204" t="s">
        <v>627</v>
      </c>
      <c r="B32" s="1198">
        <f aca="true" t="shared" si="2" ref="B32:G32">SUM(B10:B31)</f>
        <v>60364</v>
      </c>
      <c r="C32" s="1228">
        <f t="shared" si="2"/>
        <v>60364</v>
      </c>
      <c r="D32" s="1198">
        <f t="shared" si="2"/>
        <v>11341</v>
      </c>
      <c r="E32" s="1228">
        <f t="shared" si="2"/>
        <v>11341</v>
      </c>
      <c r="F32" s="1198">
        <f t="shared" si="2"/>
        <v>71705</v>
      </c>
      <c r="G32" s="1228">
        <f t="shared" si="2"/>
        <v>71705</v>
      </c>
    </row>
    <row r="33" spans="1:7" s="1125" customFormat="1" ht="15.75">
      <c r="A33" s="1183"/>
      <c r="B33" s="1182"/>
      <c r="C33" s="1182"/>
      <c r="D33" s="1182"/>
      <c r="E33" s="1182"/>
      <c r="F33" s="1182"/>
      <c r="G33" s="1182"/>
    </row>
    <row r="34" spans="1:7" s="1125" customFormat="1" ht="15.75">
      <c r="A34" s="1183"/>
      <c r="B34" s="1182"/>
      <c r="C34" s="1182"/>
      <c r="D34" s="1182"/>
      <c r="E34" s="1182"/>
      <c r="F34" s="1182"/>
      <c r="G34" s="1182"/>
    </row>
    <row r="35" spans="1:7" s="1125" customFormat="1" ht="16.5" thickBot="1">
      <c r="A35" s="1183"/>
      <c r="B35" s="1182"/>
      <c r="C35" s="1182"/>
      <c r="D35" s="1182"/>
      <c r="E35" s="1182"/>
      <c r="F35" s="1182"/>
      <c r="G35" s="1182"/>
    </row>
    <row r="36" spans="1:7" s="1125" customFormat="1" ht="16.5" thickBot="1">
      <c r="A36" s="1194" t="s">
        <v>379</v>
      </c>
      <c r="B36" s="1383" t="s">
        <v>380</v>
      </c>
      <c r="C36" s="1384"/>
      <c r="D36" s="1152"/>
      <c r="E36" s="1152"/>
      <c r="F36" s="1382"/>
      <c r="G36" s="1382"/>
    </row>
    <row r="37" spans="1:7" s="1125" customFormat="1" ht="16.5" thickBot="1">
      <c r="A37" s="1190" t="s">
        <v>296</v>
      </c>
      <c r="B37" s="1385"/>
      <c r="C37" s="1386"/>
      <c r="D37" s="1159"/>
      <c r="E37" s="1159"/>
      <c r="F37" s="1159"/>
      <c r="G37" s="1159"/>
    </row>
    <row r="38" spans="1:7" s="1125" customFormat="1" ht="15.75">
      <c r="A38" s="1375" t="s">
        <v>381</v>
      </c>
      <c r="B38" s="1407">
        <v>5524</v>
      </c>
      <c r="C38" s="1388"/>
      <c r="D38" s="1175"/>
      <c r="E38" s="1175"/>
      <c r="F38" s="1182"/>
      <c r="G38" s="1182"/>
    </row>
    <row r="39" spans="1:7" s="1125" customFormat="1" ht="15.75">
      <c r="A39" s="1373" t="s">
        <v>382</v>
      </c>
      <c r="B39" s="1389">
        <v>7607</v>
      </c>
      <c r="C39" s="1379"/>
      <c r="D39" s="1175"/>
      <c r="E39" s="1175"/>
      <c r="F39" s="1182"/>
      <c r="G39" s="1182"/>
    </row>
    <row r="40" spans="1:7" s="1125" customFormat="1" ht="15.75">
      <c r="A40" s="1376" t="s">
        <v>383</v>
      </c>
      <c r="B40" s="1380">
        <v>1408</v>
      </c>
      <c r="C40" s="1381"/>
      <c r="D40" s="1175"/>
      <c r="E40" s="1175"/>
      <c r="F40" s="1182"/>
      <c r="G40" s="1182"/>
    </row>
    <row r="41" spans="1:7" s="1125" customFormat="1" ht="15.75">
      <c r="A41" s="1376" t="s">
        <v>384</v>
      </c>
      <c r="B41" s="1380">
        <v>2803</v>
      </c>
      <c r="C41" s="1381"/>
      <c r="D41" s="1175"/>
      <c r="E41" s="1175"/>
      <c r="F41" s="1182"/>
      <c r="G41" s="1182"/>
    </row>
    <row r="42" spans="1:7" s="1125" customFormat="1" ht="16.5" thickBot="1">
      <c r="A42" s="1374" t="s">
        <v>385</v>
      </c>
      <c r="B42" s="1405">
        <v>6276</v>
      </c>
      <c r="C42" s="1406"/>
      <c r="D42" s="1175"/>
      <c r="E42" s="1175"/>
      <c r="F42" s="1182"/>
      <c r="G42" s="1182"/>
    </row>
    <row r="43" spans="1:7" s="1125" customFormat="1" ht="15.75">
      <c r="A43" s="1372"/>
      <c r="B43" s="1175"/>
      <c r="C43" s="1175"/>
      <c r="D43" s="1175"/>
      <c r="E43" s="1175"/>
      <c r="F43" s="1182"/>
      <c r="G43" s="1182"/>
    </row>
    <row r="44" spans="1:7" s="1125" customFormat="1" ht="15.75">
      <c r="A44" s="1372"/>
      <c r="B44" s="1175"/>
      <c r="C44" s="1175"/>
      <c r="D44" s="1175"/>
      <c r="E44" s="1175"/>
      <c r="F44" s="1182"/>
      <c r="G44" s="1182"/>
    </row>
    <row r="45" spans="1:7" s="1125" customFormat="1" ht="15.75">
      <c r="A45" s="1372"/>
      <c r="B45" s="1175"/>
      <c r="C45" s="1175"/>
      <c r="D45" s="1175"/>
      <c r="E45" s="1175"/>
      <c r="F45" s="1182"/>
      <c r="G45" s="1182"/>
    </row>
    <row r="46" spans="1:7" s="1125" customFormat="1" ht="15.75">
      <c r="A46" s="1183"/>
      <c r="B46" s="1182"/>
      <c r="C46" s="1182"/>
      <c r="D46" s="1182"/>
      <c r="E46" s="1182"/>
      <c r="F46" s="1182"/>
      <c r="G46" s="1182"/>
    </row>
    <row r="47" spans="1:7" s="1125" customFormat="1" ht="15.75">
      <c r="A47" s="1183"/>
      <c r="B47" s="1182"/>
      <c r="C47" s="1182"/>
      <c r="D47" s="1182"/>
      <c r="E47" s="1182"/>
      <c r="F47" s="1182"/>
      <c r="G47" s="1182"/>
    </row>
    <row r="48" spans="1:7" s="1125" customFormat="1" ht="15.75">
      <c r="A48" s="1183"/>
      <c r="B48" s="1182"/>
      <c r="C48" s="1182"/>
      <c r="D48" s="1182"/>
      <c r="E48" s="1182"/>
      <c r="F48" s="1182"/>
      <c r="G48" s="1182"/>
    </row>
    <row r="49" spans="1:7" s="1125" customFormat="1" ht="15.75">
      <c r="A49" s="1183"/>
      <c r="B49" s="1182"/>
      <c r="C49" s="1182"/>
      <c r="D49" s="1182"/>
      <c r="E49" s="1182"/>
      <c r="F49" s="1182"/>
      <c r="G49" s="1182"/>
    </row>
    <row r="50" spans="1:7" s="1125" customFormat="1" ht="15.75">
      <c r="A50" s="1183"/>
      <c r="B50" s="1182"/>
      <c r="C50" s="1182"/>
      <c r="D50" s="1182"/>
      <c r="E50" s="1182"/>
      <c r="F50" s="1182"/>
      <c r="G50" s="1182"/>
    </row>
    <row r="51" spans="1:7" s="1125" customFormat="1" ht="15.75">
      <c r="A51" s="1183"/>
      <c r="B51" s="1182"/>
      <c r="C51" s="1182"/>
      <c r="D51" s="1182"/>
      <c r="E51" s="1182"/>
      <c r="F51" s="1182"/>
      <c r="G51" s="1182"/>
    </row>
    <row r="52" spans="1:7" s="1125" customFormat="1" ht="15.75">
      <c r="A52" s="1183"/>
      <c r="B52" s="1182"/>
      <c r="C52" s="1182"/>
      <c r="D52" s="1182"/>
      <c r="E52" s="1182"/>
      <c r="F52" s="1182"/>
      <c r="G52" s="1182"/>
    </row>
    <row r="53" spans="1:7" s="1125" customFormat="1" ht="15.75">
      <c r="A53" s="1183"/>
      <c r="B53" s="1182"/>
      <c r="C53" s="1182"/>
      <c r="D53" s="1182"/>
      <c r="E53" s="1182"/>
      <c r="F53" s="1409" t="s">
        <v>368</v>
      </c>
      <c r="G53" s="1409"/>
    </row>
    <row r="54" spans="1:7" s="1125" customFormat="1" ht="15.75">
      <c r="A54" s="1183"/>
      <c r="B54" s="1182"/>
      <c r="C54" s="1182"/>
      <c r="D54" s="1182"/>
      <c r="E54" s="1182"/>
      <c r="F54" s="1410" t="s">
        <v>266</v>
      </c>
      <c r="G54" s="1410"/>
    </row>
    <row r="55" spans="1:7" s="1125" customFormat="1" ht="15.75">
      <c r="A55" s="1183"/>
      <c r="B55" s="1182"/>
      <c r="C55" s="1182"/>
      <c r="D55" s="1182"/>
      <c r="E55" s="1182"/>
      <c r="F55" s="1387" t="s">
        <v>386</v>
      </c>
      <c r="G55" s="1387"/>
    </row>
    <row r="57" spans="1:3" ht="16.5" thickBot="1">
      <c r="A57" s="1181" t="s">
        <v>345</v>
      </c>
      <c r="B57" s="1180"/>
      <c r="C57" s="1156"/>
    </row>
    <row r="58" spans="1:3" ht="16.5" thickBot="1">
      <c r="A58" s="1195" t="s">
        <v>344</v>
      </c>
      <c r="B58" s="1196"/>
      <c r="C58" s="1197"/>
    </row>
    <row r="59" spans="1:6" ht="15">
      <c r="A59" s="1145" t="s">
        <v>1315</v>
      </c>
      <c r="B59" s="1331"/>
      <c r="C59" s="1151">
        <v>280840</v>
      </c>
      <c r="F59" s="1179"/>
    </row>
    <row r="60" spans="1:3" ht="15">
      <c r="A60" s="1131" t="s">
        <v>293</v>
      </c>
      <c r="B60" s="1332"/>
      <c r="C60" s="1150">
        <v>166300</v>
      </c>
    </row>
    <row r="61" spans="1:3" ht="15">
      <c r="A61" s="1131" t="s">
        <v>312</v>
      </c>
      <c r="B61" s="1332"/>
      <c r="C61" s="1150">
        <v>30100</v>
      </c>
    </row>
    <row r="62" spans="1:3" ht="15">
      <c r="A62" s="1131" t="s">
        <v>343</v>
      </c>
      <c r="B62" s="1332"/>
      <c r="C62" s="1150">
        <v>119684</v>
      </c>
    </row>
    <row r="63" spans="1:3" ht="15">
      <c r="A63" s="1131" t="s">
        <v>342</v>
      </c>
      <c r="B63" s="1332"/>
      <c r="C63" s="1150">
        <v>270011</v>
      </c>
    </row>
    <row r="64" spans="1:3" ht="15">
      <c r="A64" s="1131" t="s">
        <v>341</v>
      </c>
      <c r="B64" s="1332"/>
      <c r="C64" s="1150">
        <v>399999</v>
      </c>
    </row>
    <row r="65" spans="1:3" ht="15">
      <c r="A65" s="1131" t="s">
        <v>310</v>
      </c>
      <c r="B65" s="1332"/>
      <c r="C65" s="1150">
        <v>515000</v>
      </c>
    </row>
    <row r="66" spans="1:3" ht="15">
      <c r="A66" s="1127" t="s">
        <v>340</v>
      </c>
      <c r="B66" s="1333"/>
      <c r="C66" s="1335">
        <v>437868</v>
      </c>
    </row>
    <row r="67" spans="1:7" ht="15">
      <c r="A67" s="1127" t="s">
        <v>339</v>
      </c>
      <c r="B67" s="1333"/>
      <c r="C67" s="1335">
        <v>399800</v>
      </c>
      <c r="D67" s="1123"/>
      <c r="E67" s="1123"/>
      <c r="F67" s="1123"/>
      <c r="G67" s="1123"/>
    </row>
    <row r="68" spans="1:7" ht="15">
      <c r="A68" s="1127" t="s">
        <v>338</v>
      </c>
      <c r="B68" s="1333"/>
      <c r="C68" s="1335">
        <v>156718</v>
      </c>
      <c r="D68" s="1123"/>
      <c r="E68" s="1123"/>
      <c r="F68" s="1123"/>
      <c r="G68" s="1123"/>
    </row>
    <row r="69" spans="1:7" ht="15">
      <c r="A69" s="1127" t="s">
        <v>308</v>
      </c>
      <c r="B69" s="1333"/>
      <c r="C69" s="1335">
        <v>716000</v>
      </c>
      <c r="D69" s="1123"/>
      <c r="E69" s="1123"/>
      <c r="F69" s="1123"/>
      <c r="G69" s="1123"/>
    </row>
    <row r="70" spans="1:7" ht="15">
      <c r="A70" s="1127" t="s">
        <v>311</v>
      </c>
      <c r="B70" s="1333"/>
      <c r="C70" s="1335">
        <v>350000</v>
      </c>
      <c r="D70" s="1123"/>
      <c r="E70" s="1123"/>
      <c r="F70" s="1123"/>
      <c r="G70" s="1123"/>
    </row>
    <row r="71" spans="1:7" ht="15">
      <c r="A71" s="1127" t="s">
        <v>337</v>
      </c>
      <c r="B71" s="1333"/>
      <c r="C71" s="1335">
        <v>460000</v>
      </c>
      <c r="D71" s="1123"/>
      <c r="E71" s="1123"/>
      <c r="F71" s="1123"/>
      <c r="G71" s="1123"/>
    </row>
    <row r="72" spans="1:7" ht="15">
      <c r="A72" s="1127" t="s">
        <v>336</v>
      </c>
      <c r="B72" s="1333"/>
      <c r="C72" s="1335">
        <v>1814424</v>
      </c>
      <c r="D72" s="1123"/>
      <c r="E72" s="1123"/>
      <c r="F72" s="1123"/>
      <c r="G72" s="1123"/>
    </row>
    <row r="73" spans="1:7" ht="15" hidden="1">
      <c r="A73" s="1127"/>
      <c r="B73" s="1333"/>
      <c r="C73" s="1335"/>
      <c r="D73" s="1123"/>
      <c r="E73" s="1123"/>
      <c r="F73" s="1123"/>
      <c r="G73" s="1123"/>
    </row>
    <row r="74" spans="1:7" ht="15">
      <c r="A74" s="1127" t="s">
        <v>305</v>
      </c>
      <c r="B74" s="1333"/>
      <c r="C74" s="1335">
        <v>393734</v>
      </c>
      <c r="D74" s="1123"/>
      <c r="E74" s="1123"/>
      <c r="F74" s="1123"/>
      <c r="G74" s="1123"/>
    </row>
    <row r="75" spans="1:7" ht="15.75" thickBot="1">
      <c r="A75" s="1178" t="s">
        <v>335</v>
      </c>
      <c r="B75" s="1334"/>
      <c r="C75" s="1264">
        <v>474087</v>
      </c>
      <c r="D75" s="1123"/>
      <c r="E75" s="1123"/>
      <c r="F75" s="1123"/>
      <c r="G75" s="1123"/>
    </row>
    <row r="76" spans="1:7" ht="16.5" thickBot="1">
      <c r="A76" s="1198" t="s">
        <v>322</v>
      </c>
      <c r="B76" s="1199"/>
      <c r="C76" s="1225">
        <f>SUM(C59:C75)</f>
        <v>6984565</v>
      </c>
      <c r="D76" s="1123"/>
      <c r="E76" s="1123"/>
      <c r="F76" s="1123"/>
      <c r="G76" s="1123"/>
    </row>
    <row r="77" spans="1:7" ht="15.75" thickBot="1">
      <c r="A77" s="1175"/>
      <c r="B77" s="1177"/>
      <c r="C77" s="1177"/>
      <c r="D77" s="1123"/>
      <c r="E77" s="1123"/>
      <c r="F77" s="1123"/>
      <c r="G77" s="1123"/>
    </row>
    <row r="78" spans="1:7" ht="16.5" thickBot="1">
      <c r="A78" s="1200" t="s">
        <v>281</v>
      </c>
      <c r="B78" s="1201"/>
      <c r="C78" s="1197"/>
      <c r="D78" s="1123"/>
      <c r="E78" s="1123"/>
      <c r="F78" s="1123"/>
      <c r="G78" s="1123"/>
    </row>
    <row r="79" spans="1:7" ht="15">
      <c r="A79" s="1174" t="s">
        <v>334</v>
      </c>
      <c r="B79" s="1336"/>
      <c r="C79" s="1151">
        <v>65569</v>
      </c>
      <c r="D79" s="1123"/>
      <c r="E79" s="1123"/>
      <c r="F79" s="1123"/>
      <c r="G79" s="1123"/>
    </row>
    <row r="80" spans="1:7" ht="15">
      <c r="A80" s="1169" t="s">
        <v>1360</v>
      </c>
      <c r="B80" s="1332"/>
      <c r="C80" s="1150">
        <v>117350</v>
      </c>
      <c r="D80" s="1123"/>
      <c r="E80" s="1123"/>
      <c r="F80" s="1123"/>
      <c r="G80" s="1123"/>
    </row>
    <row r="81" spans="1:7" ht="15">
      <c r="A81" s="1169" t="s">
        <v>333</v>
      </c>
      <c r="B81" s="1332"/>
      <c r="C81" s="1150">
        <v>85085</v>
      </c>
      <c r="D81" s="1123"/>
      <c r="E81" s="1123"/>
      <c r="F81" s="1123"/>
      <c r="G81" s="1123"/>
    </row>
    <row r="82" spans="1:7" ht="15">
      <c r="A82" s="1165" t="s">
        <v>332</v>
      </c>
      <c r="B82" s="1333"/>
      <c r="C82" s="1150">
        <v>66090</v>
      </c>
      <c r="D82" s="1123"/>
      <c r="E82" s="1123"/>
      <c r="F82" s="1123"/>
      <c r="G82" s="1123"/>
    </row>
    <row r="83" spans="1:7" ht="15">
      <c r="A83" s="1169" t="s">
        <v>331</v>
      </c>
      <c r="B83" s="1332"/>
      <c r="C83" s="1150">
        <v>568677</v>
      </c>
      <c r="D83" s="1123"/>
      <c r="E83" s="1123"/>
      <c r="F83" s="1123"/>
      <c r="G83" s="1123"/>
    </row>
    <row r="84" spans="1:7" ht="15">
      <c r="A84" s="1131" t="s">
        <v>330</v>
      </c>
      <c r="B84" s="1332"/>
      <c r="C84" s="1150">
        <v>176485</v>
      </c>
      <c r="D84" s="1123"/>
      <c r="E84" s="1123"/>
      <c r="F84" s="1123"/>
      <c r="G84" s="1123"/>
    </row>
    <row r="85" spans="1:7" ht="15">
      <c r="A85" s="1176" t="s">
        <v>329</v>
      </c>
      <c r="B85" s="1333"/>
      <c r="C85" s="1150">
        <v>190016</v>
      </c>
      <c r="D85" s="1123"/>
      <c r="E85" s="1123"/>
      <c r="F85" s="1123"/>
      <c r="G85" s="1123"/>
    </row>
    <row r="86" spans="1:7" ht="15">
      <c r="A86" s="1169" t="s">
        <v>328</v>
      </c>
      <c r="B86" s="1332"/>
      <c r="C86" s="1150">
        <v>116800</v>
      </c>
      <c r="D86" s="1123"/>
      <c r="E86" s="1123"/>
      <c r="F86" s="1123"/>
      <c r="G86" s="1123"/>
    </row>
    <row r="87" spans="1:7" ht="15">
      <c r="A87" s="1169" t="s">
        <v>1377</v>
      </c>
      <c r="B87" s="1332"/>
      <c r="C87" s="1150">
        <v>197838</v>
      </c>
      <c r="D87" s="1123"/>
      <c r="E87" s="1123"/>
      <c r="F87" s="1123"/>
      <c r="G87" s="1123"/>
    </row>
    <row r="88" spans="1:7" ht="15">
      <c r="A88" s="1169" t="s">
        <v>327</v>
      </c>
      <c r="B88" s="1332"/>
      <c r="C88" s="1150">
        <v>87500</v>
      </c>
      <c r="D88" s="1123"/>
      <c r="E88" s="1123"/>
      <c r="F88" s="1123"/>
      <c r="G88" s="1123"/>
    </row>
    <row r="89" spans="1:7" ht="15">
      <c r="A89" s="1169" t="s">
        <v>326</v>
      </c>
      <c r="B89" s="1332"/>
      <c r="C89" s="1150">
        <v>83500</v>
      </c>
      <c r="D89" s="1123"/>
      <c r="E89" s="1123"/>
      <c r="F89" s="1123"/>
      <c r="G89" s="1123"/>
    </row>
    <row r="90" spans="1:7" ht="15">
      <c r="A90" s="1169" t="s">
        <v>325</v>
      </c>
      <c r="B90" s="1332"/>
      <c r="C90" s="1150">
        <v>91000</v>
      </c>
      <c r="D90" s="1123"/>
      <c r="E90" s="1123"/>
      <c r="F90" s="1123"/>
      <c r="G90" s="1123"/>
    </row>
    <row r="91" spans="1:7" ht="15.75" thickBot="1">
      <c r="A91" s="1163" t="s">
        <v>324</v>
      </c>
      <c r="B91" s="1162"/>
      <c r="C91" s="1337">
        <v>185000</v>
      </c>
      <c r="D91" s="1123"/>
      <c r="E91" s="1123"/>
      <c r="F91" s="1123"/>
      <c r="G91" s="1123"/>
    </row>
    <row r="92" spans="1:7" ht="16.5" thickBot="1">
      <c r="A92" s="1198" t="s">
        <v>322</v>
      </c>
      <c r="B92" s="1202"/>
      <c r="C92" s="1225">
        <f>SUM(C79:C91)</f>
        <v>2030910</v>
      </c>
      <c r="D92" s="1123"/>
      <c r="E92" s="1123"/>
      <c r="F92" s="1123"/>
      <c r="G92" s="1123"/>
    </row>
    <row r="93" spans="1:7" ht="15.75" thickBot="1">
      <c r="A93" s="1175"/>
      <c r="B93" s="1123"/>
      <c r="C93" s="1123"/>
      <c r="D93" s="1123"/>
      <c r="E93" s="1123"/>
      <c r="F93" s="1123"/>
      <c r="G93" s="1123"/>
    </row>
    <row r="94" spans="1:7" ht="16.5" thickBot="1">
      <c r="A94" s="1200" t="s">
        <v>323</v>
      </c>
      <c r="B94" s="1196"/>
      <c r="C94" s="1197"/>
      <c r="D94" s="1123"/>
      <c r="E94" s="1123"/>
      <c r="F94" s="1123"/>
      <c r="G94" s="1123"/>
    </row>
    <row r="95" spans="1:7" ht="15">
      <c r="A95" s="1174" t="s">
        <v>316</v>
      </c>
      <c r="B95" s="1173"/>
      <c r="C95" s="1338">
        <v>85390</v>
      </c>
      <c r="D95" s="1123"/>
      <c r="E95" s="1123"/>
      <c r="F95" s="1123"/>
      <c r="G95" s="1123"/>
    </row>
    <row r="96" spans="1:7" ht="15" hidden="1">
      <c r="A96" s="1167"/>
      <c r="B96" s="1172"/>
      <c r="C96" s="1339"/>
      <c r="D96" s="1123"/>
      <c r="E96" s="1123"/>
      <c r="F96" s="1123"/>
      <c r="G96" s="1123"/>
    </row>
    <row r="97" spans="1:7" ht="15">
      <c r="A97" s="1169" t="s">
        <v>1374</v>
      </c>
      <c r="B97" s="1168"/>
      <c r="C97" s="1150">
        <v>705392</v>
      </c>
      <c r="D97" s="1123"/>
      <c r="E97" s="1123"/>
      <c r="F97" s="1123"/>
      <c r="G97" s="1123"/>
    </row>
    <row r="98" spans="1:7" ht="15.75" thickBot="1">
      <c r="A98" s="1167" t="s">
        <v>314</v>
      </c>
      <c r="B98" s="1162"/>
      <c r="C98" s="1263">
        <v>147479</v>
      </c>
      <c r="D98" s="1123"/>
      <c r="E98" s="1123"/>
      <c r="F98" s="1123"/>
      <c r="G98" s="1123"/>
    </row>
    <row r="99" spans="1:7" ht="15.75" hidden="1" thickBot="1">
      <c r="A99" s="1169"/>
      <c r="B99" s="1171"/>
      <c r="C99" s="1340"/>
      <c r="D99" s="1123"/>
      <c r="E99" s="1123"/>
      <c r="F99" s="1123"/>
      <c r="G99" s="1123"/>
    </row>
    <row r="100" spans="1:7" ht="15.75" hidden="1" thickBot="1">
      <c r="A100" s="1167"/>
      <c r="B100" s="1170"/>
      <c r="C100" s="1341"/>
      <c r="D100" s="1123"/>
      <c r="E100" s="1123"/>
      <c r="F100" s="1123"/>
      <c r="G100" s="1123"/>
    </row>
    <row r="101" spans="1:7" ht="15.75" hidden="1" thickBot="1">
      <c r="A101" s="1169"/>
      <c r="B101" s="1168"/>
      <c r="C101" s="1150"/>
      <c r="D101" s="1123"/>
      <c r="E101" s="1123"/>
      <c r="F101" s="1123"/>
      <c r="G101" s="1123"/>
    </row>
    <row r="102" spans="1:7" ht="15.75" hidden="1" thickBot="1">
      <c r="A102" s="1167"/>
      <c r="B102" s="1166"/>
      <c r="C102" s="1263"/>
      <c r="D102" s="1123"/>
      <c r="E102" s="1123"/>
      <c r="F102" s="1123"/>
      <c r="G102" s="1123"/>
    </row>
    <row r="103" spans="1:7" ht="15.75" hidden="1" thickBot="1">
      <c r="A103" s="1165"/>
      <c r="B103" s="1164"/>
      <c r="C103" s="1342"/>
      <c r="D103" s="1123"/>
      <c r="E103" s="1123"/>
      <c r="F103" s="1123"/>
      <c r="G103" s="1123"/>
    </row>
    <row r="104" spans="1:7" ht="15.75" hidden="1" thickBot="1">
      <c r="A104" s="1163"/>
      <c r="B104" s="1162"/>
      <c r="C104" s="1264"/>
      <c r="D104" s="1123"/>
      <c r="E104" s="1123"/>
      <c r="F104" s="1123"/>
      <c r="G104" s="1123"/>
    </row>
    <row r="105" spans="1:7" ht="16.5" thickBot="1">
      <c r="A105" s="1198" t="s">
        <v>322</v>
      </c>
      <c r="B105" s="1203"/>
      <c r="C105" s="1225">
        <f>SUM(C95:C104)</f>
        <v>938261</v>
      </c>
      <c r="D105" s="1123"/>
      <c r="E105" s="1123"/>
      <c r="F105" s="1123"/>
      <c r="G105" s="1123"/>
    </row>
  </sheetData>
  <sheetProtection/>
  <mergeCells count="16">
    <mergeCell ref="F55:G55"/>
    <mergeCell ref="F4:G4"/>
    <mergeCell ref="F5:G5"/>
    <mergeCell ref="F6:G6"/>
    <mergeCell ref="F53:G53"/>
    <mergeCell ref="F54:G54"/>
    <mergeCell ref="D8:E8"/>
    <mergeCell ref="F8:G8"/>
    <mergeCell ref="F36:G36"/>
    <mergeCell ref="B36:C37"/>
    <mergeCell ref="B42:C42"/>
    <mergeCell ref="B8:C8"/>
    <mergeCell ref="B38:C38"/>
    <mergeCell ref="B39:C39"/>
    <mergeCell ref="B40:C40"/>
    <mergeCell ref="B41:C41"/>
  </mergeCells>
  <printOptions/>
  <pageMargins left="0.64" right="0" top="0.84" bottom="0" header="0.11811023622047245" footer="0.11811023622047245"/>
  <pageSetup horizontalDpi="600" verticalDpi="600" orientation="portrait" paperSize="9" scale="85" r:id="rId1"/>
  <rowBreaks count="1" manualBreakCount="1">
    <brk id="51" max="255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E100"/>
  <sheetViews>
    <sheetView workbookViewId="0" topLeftCell="A90">
      <selection activeCell="H6" sqref="H6"/>
    </sheetView>
  </sheetViews>
  <sheetFormatPr defaultColWidth="9.00390625" defaultRowHeight="12.75"/>
  <cols>
    <col min="1" max="1" width="7.875" style="645" customWidth="1"/>
    <col min="2" max="2" width="8.625" style="645" customWidth="1"/>
    <col min="3" max="3" width="43.00390625" style="645" customWidth="1"/>
    <col min="4" max="4" width="35.625" style="645" customWidth="1"/>
    <col min="5" max="5" width="15.625" style="645" customWidth="1"/>
    <col min="6" max="16384" width="9.125" style="645" customWidth="1"/>
  </cols>
  <sheetData>
    <row r="1" ht="15.75" customHeight="1"/>
    <row r="2" spans="1:5" ht="21" customHeight="1">
      <c r="A2" s="1414" t="s">
        <v>779</v>
      </c>
      <c r="B2" s="1414"/>
      <c r="C2" s="1414"/>
      <c r="E2" s="1122" t="s">
        <v>240</v>
      </c>
    </row>
    <row r="3" ht="15.75" customHeight="1">
      <c r="E3" s="1364"/>
    </row>
    <row r="4" spans="1:5" ht="15.75" customHeight="1">
      <c r="A4" s="1413" t="s">
        <v>38</v>
      </c>
      <c r="B4" s="1413"/>
      <c r="C4" s="1413"/>
      <c r="D4" s="1413"/>
      <c r="E4" s="1362" t="s">
        <v>809</v>
      </c>
    </row>
    <row r="5" spans="1:5" ht="15.75" customHeight="1" thickBot="1">
      <c r="A5" s="653"/>
      <c r="B5" s="653"/>
      <c r="C5" s="653"/>
      <c r="D5" s="653"/>
      <c r="E5" s="1363" t="s">
        <v>369</v>
      </c>
    </row>
    <row r="6" spans="1:5" s="649" customFormat="1" ht="39.75" customHeight="1" thickBot="1">
      <c r="A6" s="661" t="s">
        <v>1326</v>
      </c>
      <c r="B6" s="657" t="s">
        <v>1325</v>
      </c>
      <c r="C6" s="648" t="s">
        <v>1324</v>
      </c>
      <c r="D6" s="665" t="s">
        <v>1323</v>
      </c>
      <c r="E6" s="661" t="s">
        <v>1322</v>
      </c>
    </row>
    <row r="7" spans="1:5" s="649" customFormat="1" ht="15.75" customHeight="1">
      <c r="A7" s="662">
        <v>1</v>
      </c>
      <c r="B7" s="658" t="s">
        <v>1297</v>
      </c>
      <c r="C7" s="650" t="s">
        <v>1321</v>
      </c>
      <c r="D7" s="666" t="s">
        <v>1320</v>
      </c>
      <c r="E7" s="669">
        <v>15000</v>
      </c>
    </row>
    <row r="8" spans="1:5" s="649" customFormat="1" ht="15.75" customHeight="1">
      <c r="A8" s="663">
        <v>2</v>
      </c>
      <c r="B8" s="659" t="s">
        <v>1297</v>
      </c>
      <c r="C8" s="651" t="s">
        <v>1319</v>
      </c>
      <c r="D8" s="667" t="s">
        <v>1318</v>
      </c>
      <c r="E8" s="670">
        <v>69000</v>
      </c>
    </row>
    <row r="9" spans="1:5" s="649" customFormat="1" ht="15.75" customHeight="1">
      <c r="A9" s="663">
        <v>3</v>
      </c>
      <c r="B9" s="659" t="s">
        <v>1297</v>
      </c>
      <c r="C9" s="652" t="s">
        <v>1317</v>
      </c>
      <c r="D9" s="667" t="s">
        <v>1316</v>
      </c>
      <c r="E9" s="670">
        <v>100000</v>
      </c>
    </row>
    <row r="10" spans="1:5" s="649" customFormat="1" ht="15.75" customHeight="1">
      <c r="A10" s="663">
        <v>4</v>
      </c>
      <c r="B10" s="659" t="s">
        <v>1297</v>
      </c>
      <c r="C10" s="651" t="s">
        <v>1315</v>
      </c>
      <c r="D10" s="667" t="s">
        <v>1314</v>
      </c>
      <c r="E10" s="670">
        <v>45458</v>
      </c>
    </row>
    <row r="11" spans="1:5" s="649" customFormat="1" ht="15.75" customHeight="1">
      <c r="A11" s="663">
        <v>5</v>
      </c>
      <c r="B11" s="659" t="s">
        <v>1297</v>
      </c>
      <c r="C11" s="651" t="s">
        <v>1275</v>
      </c>
      <c r="D11" s="667" t="s">
        <v>1313</v>
      </c>
      <c r="E11" s="670">
        <v>14608</v>
      </c>
    </row>
    <row r="12" spans="1:5" s="649" customFormat="1" ht="15.75" customHeight="1">
      <c r="A12" s="663">
        <v>6</v>
      </c>
      <c r="B12" s="659" t="s">
        <v>1297</v>
      </c>
      <c r="C12" s="651" t="s">
        <v>1193</v>
      </c>
      <c r="D12" s="667" t="s">
        <v>1312</v>
      </c>
      <c r="E12" s="670">
        <v>10000</v>
      </c>
    </row>
    <row r="13" spans="1:5" s="649" customFormat="1" ht="15.75" customHeight="1">
      <c r="A13" s="663">
        <v>7</v>
      </c>
      <c r="B13" s="659" t="s">
        <v>1297</v>
      </c>
      <c r="C13" s="651" t="s">
        <v>1235</v>
      </c>
      <c r="D13" s="667" t="s">
        <v>1311</v>
      </c>
      <c r="E13" s="670">
        <v>10500</v>
      </c>
    </row>
    <row r="14" spans="1:5" s="649" customFormat="1" ht="15.75" customHeight="1">
      <c r="A14" s="663">
        <v>8</v>
      </c>
      <c r="B14" s="659" t="s">
        <v>1297</v>
      </c>
      <c r="C14" s="651" t="s">
        <v>1310</v>
      </c>
      <c r="D14" s="667" t="s">
        <v>1309</v>
      </c>
      <c r="E14" s="670">
        <v>48100</v>
      </c>
    </row>
    <row r="15" spans="1:5" s="649" customFormat="1" ht="15.75" customHeight="1">
      <c r="A15" s="663">
        <v>9</v>
      </c>
      <c r="B15" s="659" t="s">
        <v>1297</v>
      </c>
      <c r="C15" s="651" t="s">
        <v>1184</v>
      </c>
      <c r="D15" s="667" t="s">
        <v>1308</v>
      </c>
      <c r="E15" s="670">
        <v>75000</v>
      </c>
    </row>
    <row r="16" spans="1:5" s="649" customFormat="1" ht="15.75" customHeight="1">
      <c r="A16" s="663">
        <v>10</v>
      </c>
      <c r="B16" s="659" t="s">
        <v>1297</v>
      </c>
      <c r="C16" s="651" t="s">
        <v>1307</v>
      </c>
      <c r="D16" s="667" t="s">
        <v>1306</v>
      </c>
      <c r="E16" s="670">
        <v>45000</v>
      </c>
    </row>
    <row r="17" spans="1:5" s="649" customFormat="1" ht="15.75" customHeight="1">
      <c r="A17" s="663">
        <v>11</v>
      </c>
      <c r="B17" s="659" t="s">
        <v>1297</v>
      </c>
      <c r="C17" s="651" t="s">
        <v>1305</v>
      </c>
      <c r="D17" s="667" t="s">
        <v>1304</v>
      </c>
      <c r="E17" s="670">
        <v>20000</v>
      </c>
    </row>
    <row r="18" spans="1:5" s="649" customFormat="1" ht="15.75" customHeight="1">
      <c r="A18" s="663">
        <v>12</v>
      </c>
      <c r="B18" s="659" t="s">
        <v>1297</v>
      </c>
      <c r="C18" s="651" t="s">
        <v>1303</v>
      </c>
      <c r="D18" s="667" t="s">
        <v>1302</v>
      </c>
      <c r="E18" s="670">
        <v>10000</v>
      </c>
    </row>
    <row r="19" spans="1:5" s="649" customFormat="1" ht="15.75" customHeight="1">
      <c r="A19" s="663">
        <v>13</v>
      </c>
      <c r="B19" s="659" t="s">
        <v>1297</v>
      </c>
      <c r="C19" s="651" t="s">
        <v>1299</v>
      </c>
      <c r="D19" s="667" t="s">
        <v>1301</v>
      </c>
      <c r="E19" s="670">
        <v>29786</v>
      </c>
    </row>
    <row r="20" spans="1:5" s="649" customFormat="1" ht="15.75" customHeight="1">
      <c r="A20" s="663">
        <v>14</v>
      </c>
      <c r="B20" s="659" t="s">
        <v>1297</v>
      </c>
      <c r="C20" s="651" t="s">
        <v>1219</v>
      </c>
      <c r="D20" s="667" t="s">
        <v>1300</v>
      </c>
      <c r="E20" s="670">
        <v>11700</v>
      </c>
    </row>
    <row r="21" spans="1:5" s="649" customFormat="1" ht="15.75" customHeight="1">
      <c r="A21" s="663">
        <v>15</v>
      </c>
      <c r="B21" s="659" t="s">
        <v>1297</v>
      </c>
      <c r="C21" s="651" t="s">
        <v>1299</v>
      </c>
      <c r="D21" s="667" t="s">
        <v>1298</v>
      </c>
      <c r="E21" s="670">
        <v>27000</v>
      </c>
    </row>
    <row r="22" spans="1:5" s="649" customFormat="1" ht="15.75" customHeight="1" thickBot="1">
      <c r="A22" s="664">
        <v>16</v>
      </c>
      <c r="B22" s="660" t="s">
        <v>1297</v>
      </c>
      <c r="C22" s="655" t="s">
        <v>1296</v>
      </c>
      <c r="D22" s="668" t="s">
        <v>1295</v>
      </c>
      <c r="E22" s="671">
        <v>50000</v>
      </c>
    </row>
    <row r="23" spans="1:5" s="649" customFormat="1" ht="15.75" customHeight="1">
      <c r="A23" s="662">
        <v>17</v>
      </c>
      <c r="B23" s="658" t="s">
        <v>1290</v>
      </c>
      <c r="C23" s="650" t="s">
        <v>1294</v>
      </c>
      <c r="D23" s="666" t="s">
        <v>1293</v>
      </c>
      <c r="E23" s="669">
        <v>14923</v>
      </c>
    </row>
    <row r="24" spans="1:5" s="649" customFormat="1" ht="15.75" customHeight="1">
      <c r="A24" s="663">
        <v>18</v>
      </c>
      <c r="B24" s="659" t="s">
        <v>1290</v>
      </c>
      <c r="C24" s="651" t="s">
        <v>1292</v>
      </c>
      <c r="D24" s="667" t="s">
        <v>1291</v>
      </c>
      <c r="E24" s="670">
        <v>89265</v>
      </c>
    </row>
    <row r="25" spans="1:5" s="649" customFormat="1" ht="15.75" customHeight="1" thickBot="1">
      <c r="A25" s="664">
        <v>19</v>
      </c>
      <c r="B25" s="660" t="s">
        <v>1290</v>
      </c>
      <c r="C25" s="655" t="s">
        <v>1289</v>
      </c>
      <c r="D25" s="668" t="s">
        <v>1288</v>
      </c>
      <c r="E25" s="671">
        <v>100000</v>
      </c>
    </row>
    <row r="26" spans="1:5" s="649" customFormat="1" ht="15.75" customHeight="1">
      <c r="A26" s="662">
        <v>20</v>
      </c>
      <c r="B26" s="658" t="s">
        <v>1255</v>
      </c>
      <c r="C26" s="650" t="s">
        <v>1287</v>
      </c>
      <c r="D26" s="666" t="s">
        <v>1286</v>
      </c>
      <c r="E26" s="669">
        <v>15000</v>
      </c>
    </row>
    <row r="27" spans="1:5" s="649" customFormat="1" ht="15.75" customHeight="1">
      <c r="A27" s="663">
        <v>21</v>
      </c>
      <c r="B27" s="659" t="s">
        <v>1255</v>
      </c>
      <c r="C27" s="651" t="s">
        <v>1285</v>
      </c>
      <c r="D27" s="667" t="s">
        <v>1284</v>
      </c>
      <c r="E27" s="670">
        <v>6325</v>
      </c>
    </row>
    <row r="28" spans="1:5" s="649" customFormat="1" ht="15.75" customHeight="1">
      <c r="A28" s="663">
        <v>22</v>
      </c>
      <c r="B28" s="659" t="s">
        <v>1255</v>
      </c>
      <c r="C28" s="651" t="s">
        <v>1283</v>
      </c>
      <c r="D28" s="667" t="s">
        <v>1282</v>
      </c>
      <c r="E28" s="670">
        <v>15000</v>
      </c>
    </row>
    <row r="29" spans="1:5" s="649" customFormat="1" ht="15.75" customHeight="1">
      <c r="A29" s="663">
        <v>23</v>
      </c>
      <c r="B29" s="659" t="s">
        <v>1255</v>
      </c>
      <c r="C29" s="651" t="s">
        <v>1281</v>
      </c>
      <c r="D29" s="667" t="s">
        <v>1280</v>
      </c>
      <c r="E29" s="670">
        <v>20000</v>
      </c>
    </row>
    <row r="30" spans="1:5" s="649" customFormat="1" ht="15.75" customHeight="1">
      <c r="A30" s="663">
        <v>24</v>
      </c>
      <c r="B30" s="659" t="s">
        <v>1255</v>
      </c>
      <c r="C30" s="651" t="s">
        <v>1279</v>
      </c>
      <c r="D30" s="667" t="s">
        <v>1278</v>
      </c>
      <c r="E30" s="670">
        <v>15000</v>
      </c>
    </row>
    <row r="31" spans="1:5" s="649" customFormat="1" ht="15.75" customHeight="1">
      <c r="A31" s="663">
        <v>25</v>
      </c>
      <c r="B31" s="659" t="s">
        <v>1255</v>
      </c>
      <c r="C31" s="651" t="s">
        <v>1277</v>
      </c>
      <c r="D31" s="667" t="s">
        <v>1276</v>
      </c>
      <c r="E31" s="670">
        <v>20000</v>
      </c>
    </row>
    <row r="32" spans="1:5" s="649" customFormat="1" ht="15.75" customHeight="1">
      <c r="A32" s="663">
        <v>26</v>
      </c>
      <c r="B32" s="659" t="s">
        <v>1255</v>
      </c>
      <c r="C32" s="651" t="s">
        <v>1275</v>
      </c>
      <c r="D32" s="667" t="s">
        <v>1274</v>
      </c>
      <c r="E32" s="670">
        <v>30000</v>
      </c>
    </row>
    <row r="33" spans="1:5" s="649" customFormat="1" ht="15.75" customHeight="1">
      <c r="A33" s="663">
        <v>27</v>
      </c>
      <c r="B33" s="659" t="s">
        <v>1255</v>
      </c>
      <c r="C33" s="651" t="s">
        <v>1273</v>
      </c>
      <c r="D33" s="667" t="s">
        <v>1272</v>
      </c>
      <c r="E33" s="670">
        <v>15000</v>
      </c>
    </row>
    <row r="34" spans="1:5" s="649" customFormat="1" ht="15.75" customHeight="1">
      <c r="A34" s="663">
        <v>28</v>
      </c>
      <c r="B34" s="659" t="s">
        <v>1255</v>
      </c>
      <c r="C34" s="651" t="s">
        <v>1271</v>
      </c>
      <c r="D34" s="667" t="s">
        <v>1270</v>
      </c>
      <c r="E34" s="670">
        <v>25000</v>
      </c>
    </row>
    <row r="35" spans="1:5" s="649" customFormat="1" ht="15.75" customHeight="1">
      <c r="A35" s="663">
        <v>29</v>
      </c>
      <c r="B35" s="659" t="s">
        <v>1255</v>
      </c>
      <c r="C35" s="651" t="s">
        <v>1269</v>
      </c>
      <c r="D35" s="667" t="s">
        <v>1268</v>
      </c>
      <c r="E35" s="670">
        <v>20000</v>
      </c>
    </row>
    <row r="36" spans="1:5" s="649" customFormat="1" ht="15.75" customHeight="1">
      <c r="A36" s="663">
        <v>30</v>
      </c>
      <c r="B36" s="659" t="s">
        <v>1255</v>
      </c>
      <c r="C36" s="651" t="s">
        <v>1267</v>
      </c>
      <c r="D36" s="667" t="s">
        <v>1266</v>
      </c>
      <c r="E36" s="670">
        <v>100000</v>
      </c>
    </row>
    <row r="37" spans="1:5" s="649" customFormat="1" ht="15.75" customHeight="1">
      <c r="A37" s="663">
        <v>31</v>
      </c>
      <c r="B37" s="659" t="s">
        <v>1255</v>
      </c>
      <c r="C37" s="651" t="s">
        <v>1265</v>
      </c>
      <c r="D37" s="667" t="s">
        <v>1264</v>
      </c>
      <c r="E37" s="670">
        <v>20000</v>
      </c>
    </row>
    <row r="38" spans="1:5" s="649" customFormat="1" ht="15.75" customHeight="1">
      <c r="A38" s="663">
        <v>32</v>
      </c>
      <c r="B38" s="659" t="s">
        <v>1255</v>
      </c>
      <c r="C38" s="651" t="s">
        <v>1263</v>
      </c>
      <c r="D38" s="667" t="s">
        <v>1262</v>
      </c>
      <c r="E38" s="670">
        <v>20000</v>
      </c>
    </row>
    <row r="39" spans="1:5" s="649" customFormat="1" ht="15.75" customHeight="1">
      <c r="A39" s="663">
        <v>33</v>
      </c>
      <c r="B39" s="659" t="s">
        <v>1255</v>
      </c>
      <c r="C39" s="651" t="s">
        <v>1261</v>
      </c>
      <c r="D39" s="667" t="s">
        <v>1260</v>
      </c>
      <c r="E39" s="670">
        <v>20000</v>
      </c>
    </row>
    <row r="40" spans="1:5" s="649" customFormat="1" ht="15.75" customHeight="1">
      <c r="A40" s="663">
        <v>34</v>
      </c>
      <c r="B40" s="659" t="s">
        <v>1255</v>
      </c>
      <c r="C40" s="651" t="s">
        <v>1259</v>
      </c>
      <c r="D40" s="667" t="s">
        <v>1258</v>
      </c>
      <c r="E40" s="670">
        <v>15000</v>
      </c>
    </row>
    <row r="41" spans="1:5" s="649" customFormat="1" ht="15.75" customHeight="1">
      <c r="A41" s="663">
        <v>35</v>
      </c>
      <c r="B41" s="659" t="s">
        <v>1255</v>
      </c>
      <c r="C41" s="651" t="s">
        <v>1257</v>
      </c>
      <c r="D41" s="667" t="s">
        <v>1256</v>
      </c>
      <c r="E41" s="670">
        <v>67000</v>
      </c>
    </row>
    <row r="42" spans="1:5" s="649" customFormat="1" ht="15.75" customHeight="1" thickBot="1">
      <c r="A42" s="664">
        <v>36</v>
      </c>
      <c r="B42" s="660" t="s">
        <v>1255</v>
      </c>
      <c r="C42" s="655" t="s">
        <v>1254</v>
      </c>
      <c r="D42" s="668" t="s">
        <v>1253</v>
      </c>
      <c r="E42" s="671">
        <v>95000</v>
      </c>
    </row>
    <row r="43" spans="1:5" s="649" customFormat="1" ht="15.75" customHeight="1">
      <c r="A43" s="662">
        <v>37</v>
      </c>
      <c r="B43" s="658" t="s">
        <v>1217</v>
      </c>
      <c r="C43" s="650" t="s">
        <v>1252</v>
      </c>
      <c r="D43" s="666" t="s">
        <v>1251</v>
      </c>
      <c r="E43" s="669">
        <v>40000</v>
      </c>
    </row>
    <row r="44" spans="1:5" s="649" customFormat="1" ht="15.75" customHeight="1">
      <c r="A44" s="663">
        <v>38</v>
      </c>
      <c r="B44" s="659" t="s">
        <v>1217</v>
      </c>
      <c r="C44" s="651" t="s">
        <v>1250</v>
      </c>
      <c r="D44" s="667" t="s">
        <v>1249</v>
      </c>
      <c r="E44" s="670">
        <v>50000</v>
      </c>
    </row>
    <row r="45" spans="1:5" s="649" customFormat="1" ht="15.75" customHeight="1">
      <c r="A45" s="663">
        <v>39</v>
      </c>
      <c r="B45" s="659" t="s">
        <v>1217</v>
      </c>
      <c r="C45" s="651" t="s">
        <v>1248</v>
      </c>
      <c r="D45" s="667" t="s">
        <v>1247</v>
      </c>
      <c r="E45" s="670">
        <v>24000</v>
      </c>
    </row>
    <row r="46" spans="1:5" s="649" customFormat="1" ht="15.75" customHeight="1">
      <c r="A46" s="663">
        <v>40</v>
      </c>
      <c r="B46" s="659" t="s">
        <v>1217</v>
      </c>
      <c r="C46" s="651" t="s">
        <v>1246</v>
      </c>
      <c r="D46" s="667" t="s">
        <v>1245</v>
      </c>
      <c r="E46" s="670">
        <v>60000</v>
      </c>
    </row>
    <row r="47" spans="1:5" s="649" customFormat="1" ht="15.75" customHeight="1">
      <c r="A47" s="663">
        <v>41</v>
      </c>
      <c r="B47" s="659" t="s">
        <v>1217</v>
      </c>
      <c r="C47" s="651" t="s">
        <v>1243</v>
      </c>
      <c r="D47" s="667" t="s">
        <v>1244</v>
      </c>
      <c r="E47" s="670">
        <v>25000</v>
      </c>
    </row>
    <row r="48" spans="1:5" s="649" customFormat="1" ht="15.75" customHeight="1">
      <c r="A48" s="663">
        <v>42</v>
      </c>
      <c r="B48" s="659" t="s">
        <v>1217</v>
      </c>
      <c r="C48" s="651" t="s">
        <v>1243</v>
      </c>
      <c r="D48" s="667" t="s">
        <v>1242</v>
      </c>
      <c r="E48" s="670">
        <v>50000</v>
      </c>
    </row>
    <row r="49" spans="1:5" s="649" customFormat="1" ht="15.75" customHeight="1">
      <c r="A49" s="663">
        <v>43</v>
      </c>
      <c r="B49" s="659" t="s">
        <v>1217</v>
      </c>
      <c r="C49" s="651" t="s">
        <v>1241</v>
      </c>
      <c r="D49" s="667" t="s">
        <v>1240</v>
      </c>
      <c r="E49" s="670">
        <v>63000</v>
      </c>
    </row>
    <row r="50" spans="1:5" s="649" customFormat="1" ht="15.75" customHeight="1">
      <c r="A50" s="663">
        <v>44</v>
      </c>
      <c r="B50" s="659" t="s">
        <v>1217</v>
      </c>
      <c r="C50" s="651" t="s">
        <v>1239</v>
      </c>
      <c r="D50" s="667" t="s">
        <v>1238</v>
      </c>
      <c r="E50" s="670">
        <v>100000</v>
      </c>
    </row>
    <row r="51" spans="1:5" s="649" customFormat="1" ht="15.75" customHeight="1">
      <c r="A51" s="663">
        <v>45</v>
      </c>
      <c r="B51" s="659" t="s">
        <v>1217</v>
      </c>
      <c r="C51" s="651" t="s">
        <v>1237</v>
      </c>
      <c r="D51" s="667" t="s">
        <v>1236</v>
      </c>
      <c r="E51" s="670">
        <v>25000</v>
      </c>
    </row>
    <row r="52" spans="1:5" s="649" customFormat="1" ht="15.75" customHeight="1">
      <c r="A52" s="663">
        <v>46</v>
      </c>
      <c r="B52" s="659" t="s">
        <v>1217</v>
      </c>
      <c r="C52" s="651" t="s">
        <v>1235</v>
      </c>
      <c r="D52" s="667" t="s">
        <v>1234</v>
      </c>
      <c r="E52" s="670">
        <v>10000</v>
      </c>
    </row>
    <row r="53" spans="1:5" s="649" customFormat="1" ht="15.75" customHeight="1">
      <c r="A53" s="663">
        <v>47</v>
      </c>
      <c r="B53" s="659" t="s">
        <v>1217</v>
      </c>
      <c r="C53" s="651" t="s">
        <v>1233</v>
      </c>
      <c r="D53" s="667" t="s">
        <v>1232</v>
      </c>
      <c r="E53" s="670">
        <v>87000</v>
      </c>
    </row>
    <row r="54" spans="1:5" s="649" customFormat="1" ht="15.75" customHeight="1">
      <c r="A54" s="663">
        <v>48</v>
      </c>
      <c r="B54" s="659" t="s">
        <v>1217</v>
      </c>
      <c r="C54" s="651" t="s">
        <v>1231</v>
      </c>
      <c r="D54" s="667" t="s">
        <v>1230</v>
      </c>
      <c r="E54" s="670">
        <v>75000</v>
      </c>
    </row>
    <row r="55" spans="1:5" s="649" customFormat="1" ht="15.75" customHeight="1">
      <c r="A55" s="663">
        <v>49</v>
      </c>
      <c r="B55" s="659" t="s">
        <v>1217</v>
      </c>
      <c r="C55" s="651" t="s">
        <v>1229</v>
      </c>
      <c r="D55" s="667" t="s">
        <v>1228</v>
      </c>
      <c r="E55" s="670">
        <v>38000</v>
      </c>
    </row>
    <row r="56" spans="1:5" s="649" customFormat="1" ht="15.75" customHeight="1">
      <c r="A56" s="663">
        <v>50</v>
      </c>
      <c r="B56" s="659" t="s">
        <v>1217</v>
      </c>
      <c r="C56" s="651" t="s">
        <v>1227</v>
      </c>
      <c r="D56" s="667" t="s">
        <v>1226</v>
      </c>
      <c r="E56" s="670">
        <v>27000</v>
      </c>
    </row>
    <row r="57" spans="1:5" s="649" customFormat="1" ht="15.75" customHeight="1" thickBot="1">
      <c r="A57" s="664">
        <v>51</v>
      </c>
      <c r="B57" s="660" t="s">
        <v>1217</v>
      </c>
      <c r="C57" s="655" t="s">
        <v>1225</v>
      </c>
      <c r="D57" s="668" t="s">
        <v>1224</v>
      </c>
      <c r="E57" s="671">
        <v>10000</v>
      </c>
    </row>
    <row r="58" ht="15.75" customHeight="1"/>
    <row r="59" spans="1:3" ht="15.75" customHeight="1">
      <c r="A59" s="1414" t="s">
        <v>779</v>
      </c>
      <c r="B59" s="1414"/>
      <c r="C59" s="1414"/>
    </row>
    <row r="60" ht="15.75" customHeight="1"/>
    <row r="61" spans="1:5" ht="15.75" customHeight="1">
      <c r="A61" s="1413" t="s">
        <v>38</v>
      </c>
      <c r="B61" s="1413"/>
      <c r="C61" s="1413"/>
      <c r="D61" s="1413"/>
      <c r="E61" s="1362" t="s">
        <v>809</v>
      </c>
    </row>
    <row r="62" spans="1:5" ht="15.75" customHeight="1" thickBot="1">
      <c r="A62" s="653"/>
      <c r="B62" s="653"/>
      <c r="C62" s="653"/>
      <c r="D62" s="653"/>
      <c r="E62" s="1363" t="s">
        <v>370</v>
      </c>
    </row>
    <row r="63" spans="1:5" s="649" customFormat="1" ht="39.75" customHeight="1" thickBot="1">
      <c r="A63" s="661" t="s">
        <v>1326</v>
      </c>
      <c r="B63" s="657" t="s">
        <v>1325</v>
      </c>
      <c r="C63" s="648" t="s">
        <v>1324</v>
      </c>
      <c r="D63" s="648" t="s">
        <v>1323</v>
      </c>
      <c r="E63" s="656" t="s">
        <v>1322</v>
      </c>
    </row>
    <row r="64" spans="1:5" s="649" customFormat="1" ht="15.75" customHeight="1">
      <c r="A64" s="675">
        <v>52</v>
      </c>
      <c r="B64" s="673" t="s">
        <v>1217</v>
      </c>
      <c r="C64" s="654" t="s">
        <v>1223</v>
      </c>
      <c r="D64" s="677" t="s">
        <v>1222</v>
      </c>
      <c r="E64" s="679">
        <v>100000</v>
      </c>
    </row>
    <row r="65" spans="1:5" s="649" customFormat="1" ht="15.75" customHeight="1">
      <c r="A65" s="663">
        <v>53</v>
      </c>
      <c r="B65" s="659" t="s">
        <v>1217</v>
      </c>
      <c r="C65" s="651" t="s">
        <v>1221</v>
      </c>
      <c r="D65" s="667" t="s">
        <v>1220</v>
      </c>
      <c r="E65" s="670">
        <v>50000</v>
      </c>
    </row>
    <row r="66" spans="1:5" s="649" customFormat="1" ht="15.75" customHeight="1">
      <c r="A66" s="663">
        <v>54</v>
      </c>
      <c r="B66" s="659" t="s">
        <v>1217</v>
      </c>
      <c r="C66" s="651" t="s">
        <v>1219</v>
      </c>
      <c r="D66" s="667" t="s">
        <v>1218</v>
      </c>
      <c r="E66" s="670">
        <v>35000</v>
      </c>
    </row>
    <row r="67" spans="1:5" s="649" customFormat="1" ht="15.75" customHeight="1" thickBot="1">
      <c r="A67" s="664">
        <v>55</v>
      </c>
      <c r="B67" s="660" t="s">
        <v>1217</v>
      </c>
      <c r="C67" s="655" t="s">
        <v>1216</v>
      </c>
      <c r="D67" s="668" t="s">
        <v>1215</v>
      </c>
      <c r="E67" s="671">
        <v>73000</v>
      </c>
    </row>
    <row r="68" spans="1:5" s="649" customFormat="1" ht="15.75" customHeight="1">
      <c r="A68" s="662">
        <v>56</v>
      </c>
      <c r="B68" s="658" t="s">
        <v>1154</v>
      </c>
      <c r="C68" s="650" t="s">
        <v>1214</v>
      </c>
      <c r="D68" s="666" t="s">
        <v>1213</v>
      </c>
      <c r="E68" s="669">
        <v>10000</v>
      </c>
    </row>
    <row r="69" spans="1:5" s="649" customFormat="1" ht="15.75" customHeight="1">
      <c r="A69" s="663">
        <v>57</v>
      </c>
      <c r="B69" s="659" t="s">
        <v>1154</v>
      </c>
      <c r="C69" s="651" t="s">
        <v>1212</v>
      </c>
      <c r="D69" s="667" t="s">
        <v>1211</v>
      </c>
      <c r="E69" s="670">
        <v>25000</v>
      </c>
    </row>
    <row r="70" spans="1:5" s="649" customFormat="1" ht="15.75" customHeight="1">
      <c r="A70" s="663">
        <v>58</v>
      </c>
      <c r="B70" s="659" t="s">
        <v>1154</v>
      </c>
      <c r="C70" s="651" t="s">
        <v>1210</v>
      </c>
      <c r="D70" s="667" t="s">
        <v>1209</v>
      </c>
      <c r="E70" s="670">
        <v>65000</v>
      </c>
    </row>
    <row r="71" spans="1:5" s="649" customFormat="1" ht="15.75" customHeight="1">
      <c r="A71" s="663">
        <v>59</v>
      </c>
      <c r="B71" s="659" t="s">
        <v>1154</v>
      </c>
      <c r="C71" s="651" t="s">
        <v>1172</v>
      </c>
      <c r="D71" s="667" t="s">
        <v>1208</v>
      </c>
      <c r="E71" s="670">
        <v>20000</v>
      </c>
    </row>
    <row r="72" spans="1:5" s="649" customFormat="1" ht="15.75" customHeight="1">
      <c r="A72" s="663">
        <v>60</v>
      </c>
      <c r="B72" s="659" t="s">
        <v>1154</v>
      </c>
      <c r="C72" s="651" t="s">
        <v>1207</v>
      </c>
      <c r="D72" s="667" t="s">
        <v>1206</v>
      </c>
      <c r="E72" s="670">
        <v>18927</v>
      </c>
    </row>
    <row r="73" spans="1:5" s="649" customFormat="1" ht="15.75" customHeight="1">
      <c r="A73" s="663">
        <v>61</v>
      </c>
      <c r="B73" s="659" t="s">
        <v>1154</v>
      </c>
      <c r="C73" s="651" t="s">
        <v>1205</v>
      </c>
      <c r="D73" s="667" t="s">
        <v>1204</v>
      </c>
      <c r="E73" s="670">
        <v>40000</v>
      </c>
    </row>
    <row r="74" spans="1:5" s="649" customFormat="1" ht="15.75" customHeight="1">
      <c r="A74" s="663">
        <v>62</v>
      </c>
      <c r="B74" s="659" t="s">
        <v>1154</v>
      </c>
      <c r="C74" s="651" t="s">
        <v>1203</v>
      </c>
      <c r="D74" s="667" t="s">
        <v>1202</v>
      </c>
      <c r="E74" s="670">
        <v>15000</v>
      </c>
    </row>
    <row r="75" spans="1:5" s="649" customFormat="1" ht="15.75" customHeight="1">
      <c r="A75" s="663">
        <v>63</v>
      </c>
      <c r="B75" s="659" t="s">
        <v>1154</v>
      </c>
      <c r="C75" s="651" t="s">
        <v>1201</v>
      </c>
      <c r="D75" s="667" t="s">
        <v>1200</v>
      </c>
      <c r="E75" s="670">
        <v>10000</v>
      </c>
    </row>
    <row r="76" spans="1:5" s="649" customFormat="1" ht="15.75" customHeight="1">
      <c r="A76" s="663">
        <v>64</v>
      </c>
      <c r="B76" s="659" t="s">
        <v>1154</v>
      </c>
      <c r="C76" s="651" t="s">
        <v>1199</v>
      </c>
      <c r="D76" s="667" t="s">
        <v>1198</v>
      </c>
      <c r="E76" s="670">
        <v>10000</v>
      </c>
    </row>
    <row r="77" spans="1:5" s="649" customFormat="1" ht="15.75" customHeight="1">
      <c r="A77" s="663">
        <v>65</v>
      </c>
      <c r="B77" s="659" t="s">
        <v>1154</v>
      </c>
      <c r="C77" s="651" t="s">
        <v>1197</v>
      </c>
      <c r="D77" s="667" t="s">
        <v>1196</v>
      </c>
      <c r="E77" s="670">
        <v>10000</v>
      </c>
    </row>
    <row r="78" spans="1:5" s="649" customFormat="1" ht="15.75" customHeight="1">
      <c r="A78" s="663">
        <v>66</v>
      </c>
      <c r="B78" s="659" t="s">
        <v>1154</v>
      </c>
      <c r="C78" s="651" t="s">
        <v>1195</v>
      </c>
      <c r="D78" s="667" t="s">
        <v>1194</v>
      </c>
      <c r="E78" s="670">
        <v>30000</v>
      </c>
    </row>
    <row r="79" spans="1:5" s="649" customFormat="1" ht="15.75" customHeight="1">
      <c r="A79" s="663">
        <v>67</v>
      </c>
      <c r="B79" s="659" t="s">
        <v>1154</v>
      </c>
      <c r="C79" s="651" t="s">
        <v>1193</v>
      </c>
      <c r="D79" s="667" t="s">
        <v>1192</v>
      </c>
      <c r="E79" s="670">
        <v>60000</v>
      </c>
    </row>
    <row r="80" spans="1:5" s="649" customFormat="1" ht="15.75" customHeight="1">
      <c r="A80" s="663">
        <v>68</v>
      </c>
      <c r="B80" s="659" t="s">
        <v>1154</v>
      </c>
      <c r="C80" s="651" t="s">
        <v>1191</v>
      </c>
      <c r="D80" s="667" t="s">
        <v>1190</v>
      </c>
      <c r="E80" s="670">
        <v>15000</v>
      </c>
    </row>
    <row r="81" spans="1:5" s="649" customFormat="1" ht="15.75" customHeight="1">
      <c r="A81" s="663">
        <v>69</v>
      </c>
      <c r="B81" s="659" t="s">
        <v>1154</v>
      </c>
      <c r="C81" s="651" t="s">
        <v>1189</v>
      </c>
      <c r="D81" s="667" t="s">
        <v>1188</v>
      </c>
      <c r="E81" s="670">
        <v>25000</v>
      </c>
    </row>
    <row r="82" spans="1:5" s="649" customFormat="1" ht="15.75" customHeight="1">
      <c r="A82" s="663">
        <v>70</v>
      </c>
      <c r="B82" s="659" t="s">
        <v>1154</v>
      </c>
      <c r="C82" s="651" t="s">
        <v>1186</v>
      </c>
      <c r="D82" s="667" t="s">
        <v>1187</v>
      </c>
      <c r="E82" s="670">
        <v>30000</v>
      </c>
    </row>
    <row r="83" spans="1:5" s="649" customFormat="1" ht="15.75" customHeight="1">
      <c r="A83" s="663">
        <v>71</v>
      </c>
      <c r="B83" s="659" t="s">
        <v>1154</v>
      </c>
      <c r="C83" s="651" t="s">
        <v>1186</v>
      </c>
      <c r="D83" s="667" t="s">
        <v>1185</v>
      </c>
      <c r="E83" s="670">
        <v>30000</v>
      </c>
    </row>
    <row r="84" spans="1:5" s="649" customFormat="1" ht="15.75" customHeight="1">
      <c r="A84" s="663">
        <v>72</v>
      </c>
      <c r="B84" s="659" t="s">
        <v>1154</v>
      </c>
      <c r="C84" s="651" t="s">
        <v>1184</v>
      </c>
      <c r="D84" s="667" t="s">
        <v>1183</v>
      </c>
      <c r="E84" s="670">
        <v>65000</v>
      </c>
    </row>
    <row r="85" spans="1:5" s="649" customFormat="1" ht="15.75" customHeight="1">
      <c r="A85" s="663">
        <v>73</v>
      </c>
      <c r="B85" s="659" t="s">
        <v>1154</v>
      </c>
      <c r="C85" s="651" t="s">
        <v>1182</v>
      </c>
      <c r="D85" s="667" t="s">
        <v>1181</v>
      </c>
      <c r="E85" s="670">
        <v>30000</v>
      </c>
    </row>
    <row r="86" spans="1:5" s="649" customFormat="1" ht="15.75" customHeight="1">
      <c r="A86" s="663">
        <v>74</v>
      </c>
      <c r="B86" s="659" t="s">
        <v>1154</v>
      </c>
      <c r="C86" s="651" t="s">
        <v>1180</v>
      </c>
      <c r="D86" s="667" t="s">
        <v>1179</v>
      </c>
      <c r="E86" s="670">
        <v>25000</v>
      </c>
    </row>
    <row r="87" spans="1:5" s="649" customFormat="1" ht="15.75" customHeight="1">
      <c r="A87" s="663">
        <v>75</v>
      </c>
      <c r="B87" s="659" t="s">
        <v>1154</v>
      </c>
      <c r="C87" s="651" t="s">
        <v>1178</v>
      </c>
      <c r="D87" s="667" t="s">
        <v>1177</v>
      </c>
      <c r="E87" s="670">
        <v>15000</v>
      </c>
    </row>
    <row r="88" spans="1:5" s="649" customFormat="1" ht="15.75" customHeight="1">
      <c r="A88" s="663">
        <v>76</v>
      </c>
      <c r="B88" s="659" t="s">
        <v>1154</v>
      </c>
      <c r="C88" s="651" t="s">
        <v>1176</v>
      </c>
      <c r="D88" s="667" t="s">
        <v>1175</v>
      </c>
      <c r="E88" s="670">
        <v>10000</v>
      </c>
    </row>
    <row r="89" spans="1:5" s="649" customFormat="1" ht="15.75" customHeight="1">
      <c r="A89" s="663">
        <v>77</v>
      </c>
      <c r="B89" s="659" t="s">
        <v>1154</v>
      </c>
      <c r="C89" s="651" t="s">
        <v>1174</v>
      </c>
      <c r="D89" s="667" t="s">
        <v>1173</v>
      </c>
      <c r="E89" s="670">
        <v>20000</v>
      </c>
    </row>
    <row r="90" spans="1:5" s="649" customFormat="1" ht="15.75" customHeight="1">
      <c r="A90" s="663">
        <v>78</v>
      </c>
      <c r="B90" s="659" t="s">
        <v>1154</v>
      </c>
      <c r="C90" s="651" t="s">
        <v>1172</v>
      </c>
      <c r="D90" s="667" t="s">
        <v>1171</v>
      </c>
      <c r="E90" s="670">
        <v>20000</v>
      </c>
    </row>
    <row r="91" spans="1:5" s="649" customFormat="1" ht="15.75" customHeight="1">
      <c r="A91" s="663">
        <v>79</v>
      </c>
      <c r="B91" s="659" t="s">
        <v>1154</v>
      </c>
      <c r="C91" s="651" t="s">
        <v>1170</v>
      </c>
      <c r="D91" s="667" t="s">
        <v>1169</v>
      </c>
      <c r="E91" s="670">
        <v>15000</v>
      </c>
    </row>
    <row r="92" spans="1:5" s="649" customFormat="1" ht="15.75" customHeight="1">
      <c r="A92" s="663">
        <v>80</v>
      </c>
      <c r="B92" s="659" t="s">
        <v>1154</v>
      </c>
      <c r="C92" s="651" t="s">
        <v>1168</v>
      </c>
      <c r="D92" s="667" t="s">
        <v>1167</v>
      </c>
      <c r="E92" s="670">
        <v>20000</v>
      </c>
    </row>
    <row r="93" spans="1:5" s="649" customFormat="1" ht="15.75" customHeight="1">
      <c r="A93" s="663">
        <v>81</v>
      </c>
      <c r="B93" s="659" t="s">
        <v>1154</v>
      </c>
      <c r="C93" s="651" t="s">
        <v>1166</v>
      </c>
      <c r="D93" s="667" t="s">
        <v>1165</v>
      </c>
      <c r="E93" s="670">
        <v>15000</v>
      </c>
    </row>
    <row r="94" spans="1:5" s="649" customFormat="1" ht="15.75" customHeight="1">
      <c r="A94" s="663">
        <v>82</v>
      </c>
      <c r="B94" s="659" t="s">
        <v>1154</v>
      </c>
      <c r="C94" s="651" t="s">
        <v>1164</v>
      </c>
      <c r="D94" s="667" t="s">
        <v>1163</v>
      </c>
      <c r="E94" s="670">
        <v>20000</v>
      </c>
    </row>
    <row r="95" spans="1:5" s="649" customFormat="1" ht="15.75" customHeight="1">
      <c r="A95" s="663">
        <v>83</v>
      </c>
      <c r="B95" s="659" t="s">
        <v>1154</v>
      </c>
      <c r="C95" s="651" t="s">
        <v>1162</v>
      </c>
      <c r="D95" s="667" t="s">
        <v>1161</v>
      </c>
      <c r="E95" s="670">
        <v>10000</v>
      </c>
    </row>
    <row r="96" spans="1:5" s="649" customFormat="1" ht="15.75" customHeight="1">
      <c r="A96" s="663">
        <v>84</v>
      </c>
      <c r="B96" s="659" t="s">
        <v>1154</v>
      </c>
      <c r="C96" s="651" t="s">
        <v>1160</v>
      </c>
      <c r="D96" s="667" t="s">
        <v>1159</v>
      </c>
      <c r="E96" s="670">
        <v>30000</v>
      </c>
    </row>
    <row r="97" spans="1:5" s="649" customFormat="1" ht="15.75" customHeight="1">
      <c r="A97" s="663">
        <v>85</v>
      </c>
      <c r="B97" s="659" t="s">
        <v>1154</v>
      </c>
      <c r="C97" s="651" t="s">
        <v>1158</v>
      </c>
      <c r="D97" s="667" t="s">
        <v>1157</v>
      </c>
      <c r="E97" s="670">
        <v>15000</v>
      </c>
    </row>
    <row r="98" spans="1:5" s="649" customFormat="1" ht="15.75" customHeight="1">
      <c r="A98" s="663">
        <v>86</v>
      </c>
      <c r="B98" s="659" t="s">
        <v>1154</v>
      </c>
      <c r="C98" s="651" t="s">
        <v>1156</v>
      </c>
      <c r="D98" s="667" t="s">
        <v>1155</v>
      </c>
      <c r="E98" s="670">
        <v>10000</v>
      </c>
    </row>
    <row r="99" spans="1:5" s="649" customFormat="1" ht="15.75" customHeight="1" thickBot="1">
      <c r="A99" s="676">
        <v>87</v>
      </c>
      <c r="B99" s="674" t="s">
        <v>1154</v>
      </c>
      <c r="C99" s="672" t="s">
        <v>1153</v>
      </c>
      <c r="D99" s="678" t="s">
        <v>1152</v>
      </c>
      <c r="E99" s="680">
        <v>20000</v>
      </c>
    </row>
    <row r="100" spans="1:5" s="683" customFormat="1" ht="24" customHeight="1" thickBot="1">
      <c r="A100" s="681" t="s">
        <v>39</v>
      </c>
      <c r="B100" s="682" t="s">
        <v>39</v>
      </c>
      <c r="C100" s="1411" t="s">
        <v>627</v>
      </c>
      <c r="D100" s="1412"/>
      <c r="E100" s="684">
        <f>SUM(E7:E99)</f>
        <v>2999592</v>
      </c>
    </row>
    <row r="101" s="649" customFormat="1" ht="15.75" customHeight="1"/>
    <row r="102" s="649" customFormat="1" ht="15.75" customHeight="1"/>
    <row r="103" s="649" customFormat="1" ht="15.75" customHeight="1"/>
    <row r="104" s="649" customFormat="1" ht="15.75" customHeight="1"/>
    <row r="105" s="649" customFormat="1" ht="15"/>
    <row r="106" s="649" customFormat="1" ht="15"/>
    <row r="107" s="649" customFormat="1" ht="15"/>
    <row r="108" s="649" customFormat="1" ht="15"/>
    <row r="109" s="649" customFormat="1" ht="15"/>
    <row r="110" s="649" customFormat="1" ht="15"/>
    <row r="111" s="649" customFormat="1" ht="15"/>
    <row r="112" s="649" customFormat="1" ht="15"/>
    <row r="113" s="649" customFormat="1" ht="15"/>
    <row r="114" s="649" customFormat="1" ht="15"/>
    <row r="115" s="649" customFormat="1" ht="15"/>
    <row r="116" s="649" customFormat="1" ht="15"/>
    <row r="117" s="649" customFormat="1" ht="15"/>
    <row r="118" s="649" customFormat="1" ht="15"/>
    <row r="119" s="649" customFormat="1" ht="15"/>
    <row r="120" s="649" customFormat="1" ht="15"/>
    <row r="121" s="649" customFormat="1" ht="15"/>
    <row r="122" s="649" customFormat="1" ht="15"/>
    <row r="123" s="649" customFormat="1" ht="15"/>
    <row r="124" s="649" customFormat="1" ht="15"/>
    <row r="125" s="649" customFormat="1" ht="15"/>
    <row r="126" s="649" customFormat="1" ht="15"/>
    <row r="127" s="649" customFormat="1" ht="15"/>
    <row r="128" s="649" customFormat="1" ht="15"/>
    <row r="129" s="649" customFormat="1" ht="15"/>
    <row r="130" s="649" customFormat="1" ht="15"/>
    <row r="131" s="649" customFormat="1" ht="15"/>
    <row r="132" s="649" customFormat="1" ht="15"/>
    <row r="133" s="649" customFormat="1" ht="15"/>
    <row r="134" s="649" customFormat="1" ht="15"/>
    <row r="135" s="649" customFormat="1" ht="15"/>
    <row r="136" s="649" customFormat="1" ht="15"/>
    <row r="137" s="649" customFormat="1" ht="15"/>
    <row r="138" s="649" customFormat="1" ht="15"/>
    <row r="139" s="649" customFormat="1" ht="15"/>
    <row r="140" s="649" customFormat="1" ht="15"/>
    <row r="141" s="649" customFormat="1" ht="15"/>
    <row r="142" s="649" customFormat="1" ht="15"/>
    <row r="143" s="649" customFormat="1" ht="15"/>
    <row r="144" s="649" customFormat="1" ht="15"/>
  </sheetData>
  <sheetProtection/>
  <mergeCells count="5">
    <mergeCell ref="C100:D100"/>
    <mergeCell ref="A4:D4"/>
    <mergeCell ref="A2:C2"/>
    <mergeCell ref="A59:C59"/>
    <mergeCell ref="A61:D61"/>
  </mergeCells>
  <printOptions/>
  <pageMargins left="0.84" right="0.38" top="0.82" bottom="0.46" header="0.5" footer="0.4921259845"/>
  <pageSetup horizontalDpi="600" verticalDpi="600" orientation="portrait" paperSize="9" scale="7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Slepickova</cp:lastModifiedBy>
  <cp:lastPrinted>2008-03-20T07:35:54Z</cp:lastPrinted>
  <dcterms:created xsi:type="dcterms:W3CDTF">1997-01-24T11:07:25Z</dcterms:created>
  <dcterms:modified xsi:type="dcterms:W3CDTF">2008-03-25T08:52:44Z</dcterms:modified>
  <cp:category/>
  <cp:version/>
  <cp:contentType/>
  <cp:contentStatus/>
</cp:coreProperties>
</file>