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736" firstSheet="5" activeTab="14"/>
  </bookViews>
  <sheets>
    <sheet name="príjmy-výdavky" sheetId="1" r:id="rId1"/>
    <sheet name="príjmy" sheetId="2" r:id="rId2"/>
    <sheet name="výdavky " sheetId="3" r:id="rId3"/>
    <sheet name="stavby" sheetId="4" r:id="rId4"/>
    <sheet name="záväzky" sheetId="5" r:id="rId5"/>
    <sheet name="dotácie" sheetId="6" r:id="rId6"/>
    <sheet name="pohľadávky" sheetId="7" r:id="rId7"/>
    <sheet name="úvery" sheetId="8" r:id="rId8"/>
    <sheet name="školstvo 3" sheetId="9" r:id="rId9"/>
    <sheet name="školstvo 2" sheetId="10" r:id="rId10"/>
    <sheet name="školstvo" sheetId="11" r:id="rId11"/>
    <sheet name="fondy" sheetId="12" r:id="rId12"/>
    <sheet name="príspevkové" sheetId="13" r:id="rId13"/>
    <sheet name="vysporiadanie" sheetId="14" r:id="rId14"/>
    <sheet name="vps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Slepickova</author>
  </authors>
  <commentList>
    <comment ref="K11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>vrátane účelovej dot</t>
        </r>
        <r>
          <rPr>
            <sz val="8"/>
            <rFont val="Tahoma"/>
            <family val="0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Slepickova</author>
  </authors>
  <commentList>
    <comment ref="E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1.splátka :1/2008</t>
        </r>
      </text>
    </comment>
    <comment ref="E1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spolu úvery s úrokmi - jedna mesačná splátka 
istina je cca 10 000 tis. 
 A úrok  6 800 tis. Sk</t>
        </r>
      </text>
    </comment>
  </commentList>
</comments>
</file>

<file path=xl/sharedStrings.xml><?xml version="1.0" encoding="utf-8"?>
<sst xmlns="http://schemas.openxmlformats.org/spreadsheetml/2006/main" count="1983" uniqueCount="1165">
  <si>
    <t>tab.č.1</t>
  </si>
  <si>
    <t>v tis. Sk</t>
  </si>
  <si>
    <t>Rozpočet</t>
  </si>
  <si>
    <t>Ukazovateľ</t>
  </si>
  <si>
    <t xml:space="preserve">rozpočtu </t>
  </si>
  <si>
    <t>na rok 2006</t>
  </si>
  <si>
    <t>Daňové príjmy</t>
  </si>
  <si>
    <t>Podielové dane z príjmov</t>
  </si>
  <si>
    <t>Dane z majetku</t>
  </si>
  <si>
    <t>Dane za tovary a služby</t>
  </si>
  <si>
    <t>Nedaňové príjmy</t>
  </si>
  <si>
    <t>Príjmy z podnikania a z vlastníctva majetku</t>
  </si>
  <si>
    <t>Administratívne a iné poplat.a platby</t>
  </si>
  <si>
    <t>Kapitálové príjmy</t>
  </si>
  <si>
    <t>Úroky z domácich úverov,pôžičiek a vkladov</t>
  </si>
  <si>
    <t>Iné nedaňové príjmy</t>
  </si>
  <si>
    <t>Bežné granty</t>
  </si>
  <si>
    <t>Kapitálové granty</t>
  </si>
  <si>
    <t>Úvery</t>
  </si>
  <si>
    <t>Prevody z peňažných fondov</t>
  </si>
  <si>
    <t>Regionálny rozvoj</t>
  </si>
  <si>
    <t>Príjmy celkom</t>
  </si>
  <si>
    <t>z toho kapitálové</t>
  </si>
  <si>
    <t xml:space="preserve">           bežné</t>
  </si>
  <si>
    <t xml:space="preserve">           finančné operácie</t>
  </si>
  <si>
    <t>Výdavky celkom</t>
  </si>
  <si>
    <t>Hospodársky výsledok</t>
  </si>
  <si>
    <t>Výdavky</t>
  </si>
  <si>
    <t>tab.č.2</t>
  </si>
  <si>
    <t>1. zmena</t>
  </si>
  <si>
    <t>BEŽNÉ  PRÍJMY</t>
  </si>
  <si>
    <t>111</t>
  </si>
  <si>
    <t xml:space="preserve">Podielové dane - predpoklad </t>
  </si>
  <si>
    <t xml:space="preserve">Daň z nehnuteľností </t>
  </si>
  <si>
    <t>Dane za špecifické služby :</t>
  </si>
  <si>
    <t>Za psa</t>
  </si>
  <si>
    <t>133003</t>
  </si>
  <si>
    <t>Za nevýherné hracie sprístroje</t>
  </si>
  <si>
    <t>133004</t>
  </si>
  <si>
    <t>Za predajné automaty</t>
  </si>
  <si>
    <t>133006</t>
  </si>
  <si>
    <t>Za ubytovanie</t>
  </si>
  <si>
    <t>139</t>
  </si>
  <si>
    <t>Iné dane za tovary a služby</t>
  </si>
  <si>
    <t>Za užívanie verejného pristranstva</t>
  </si>
  <si>
    <t>211003</t>
  </si>
  <si>
    <t>Príjmy z podnikania - dividendy</t>
  </si>
  <si>
    <t>212</t>
  </si>
  <si>
    <t>Príjmy z vlastníctva</t>
  </si>
  <si>
    <t>221</t>
  </si>
  <si>
    <t>Administratívne poplatky</t>
  </si>
  <si>
    <t>221005</t>
  </si>
  <si>
    <t>Licencie - výherné hracie prístroje</t>
  </si>
  <si>
    <t>Pokuty penále</t>
  </si>
  <si>
    <t>Bytterm</t>
  </si>
  <si>
    <t>292006</t>
  </si>
  <si>
    <t>Z náhrad z poistného plnenia</t>
  </si>
  <si>
    <t>Výťažok z lotérií a iných podobných hier</t>
  </si>
  <si>
    <t>229005</t>
  </si>
  <si>
    <t>Za znečisťovanie ovzdušia</t>
  </si>
  <si>
    <t>240</t>
  </si>
  <si>
    <t>Úroky z domácich úverov, pôžičiek, vkladov</t>
  </si>
  <si>
    <t>312001</t>
  </si>
  <si>
    <t>Granty na výstavbu miest a obcí</t>
  </si>
  <si>
    <t>Transfery pre školstvo - prenesené kompetencie</t>
  </si>
  <si>
    <t>Transfer pre VPP</t>
  </si>
  <si>
    <t>341</t>
  </si>
  <si>
    <t>Granty Európska únia</t>
  </si>
  <si>
    <t>SPOLU</t>
  </si>
  <si>
    <t>KAPITÁLOVÉ  PRÍJMY</t>
  </si>
  <si>
    <t>230</t>
  </si>
  <si>
    <t>Príjmy z predaja kapitál.aktív a pozemkov</t>
  </si>
  <si>
    <t>231</t>
  </si>
  <si>
    <t>Príjmy z predaja bytov</t>
  </si>
  <si>
    <t>FINANČNÉ  OPERÁCIE</t>
  </si>
  <si>
    <t>500</t>
  </si>
  <si>
    <t>Prevody z  peňažných fondov obcí</t>
  </si>
  <si>
    <t>Mestský úrad v Žiline</t>
  </si>
  <si>
    <t>tab.č.8</t>
  </si>
  <si>
    <t>Požiadavka</t>
  </si>
  <si>
    <t xml:space="preserve">na rok </t>
  </si>
  <si>
    <t>rozpočtu</t>
  </si>
  <si>
    <t>Dopravný podnik mesta s.r.o.</t>
  </si>
  <si>
    <t>Vlastné príjmy</t>
  </si>
  <si>
    <t>tis.</t>
  </si>
  <si>
    <t>Náklady neinvestičné</t>
  </si>
  <si>
    <t>Náklady investičné</t>
  </si>
  <si>
    <t>Mzdové prostriedky celkom</t>
  </si>
  <si>
    <t>Počet pracovníkov</t>
  </si>
  <si>
    <t>os</t>
  </si>
  <si>
    <t>Priemerná mesačná mzda</t>
  </si>
  <si>
    <t>Sk</t>
  </si>
  <si>
    <t>Príspevok</t>
  </si>
  <si>
    <t>z toho : na prevádzku</t>
  </si>
  <si>
    <t xml:space="preserve">            na investície</t>
  </si>
  <si>
    <t>Limit na reprezentačné účely</t>
  </si>
  <si>
    <t>Mestské divadlo</t>
  </si>
  <si>
    <t>Nákladdy investičné</t>
  </si>
  <si>
    <t>os.</t>
  </si>
  <si>
    <t>Príspevok celkom</t>
  </si>
  <si>
    <t xml:space="preserve">            účelový</t>
  </si>
  <si>
    <t>limit na reprezentačné účely</t>
  </si>
  <si>
    <t>Mestská krytá plaváreň</t>
  </si>
  <si>
    <t>Sk.</t>
  </si>
  <si>
    <t>tab.č. 9</t>
  </si>
  <si>
    <t>Športcentrum</t>
  </si>
  <si>
    <t>tis. Sk</t>
  </si>
  <si>
    <t>celkom</t>
  </si>
  <si>
    <t>z toho :</t>
  </si>
  <si>
    <t xml:space="preserve">    Verejné osvetlenie spolu</t>
  </si>
  <si>
    <t xml:space="preserve">            Verejné osvetlenie ŽIVO</t>
  </si>
  <si>
    <t xml:space="preserve">            Verejné osvetlenie energia</t>
  </si>
  <si>
    <t xml:space="preserve">     Pohrebníctvo spolu</t>
  </si>
  <si>
    <t xml:space="preserve">             Pohrebníctvo FUNERAL</t>
  </si>
  <si>
    <t xml:space="preserve">     Verejná zeleň spolu</t>
  </si>
  <si>
    <t xml:space="preserve">              Verejná zeleň T+T</t>
  </si>
  <si>
    <t xml:space="preserve">               Verejná zeleň MGM</t>
  </si>
  <si>
    <t xml:space="preserve">               Verejná zeleň MsÚ - Osobitné práce</t>
  </si>
  <si>
    <t xml:space="preserve">      Opravy a údržba iné cez MsÚ</t>
  </si>
  <si>
    <t xml:space="preserve">     Čistenie MK spolu</t>
  </si>
  <si>
    <t xml:space="preserve">               Čistenie MK AGÁT</t>
  </si>
  <si>
    <t xml:space="preserve">               Čistenie MK T+T</t>
  </si>
  <si>
    <t xml:space="preserve">               Čistenie MK</t>
  </si>
  <si>
    <t xml:space="preserve">               Čistenie MK stočné</t>
  </si>
  <si>
    <t xml:space="preserve">      Odvoz odpadov spolu</t>
  </si>
  <si>
    <t xml:space="preserve">              Odvoz odpadov T+T</t>
  </si>
  <si>
    <t xml:space="preserve">              Odpady podľa VZN MsÚ</t>
  </si>
  <si>
    <t>Návrh rozpočtu investičnej výstavby Mesta Žilina  na rok 2006</t>
  </si>
  <si>
    <t>tis.Sk</t>
  </si>
  <si>
    <t>Ter</t>
  </si>
  <si>
    <t xml:space="preserve">Ter. </t>
  </si>
  <si>
    <t>Rozp.</t>
  </si>
  <si>
    <t>Názov stavby</t>
  </si>
  <si>
    <t>zač.</t>
  </si>
  <si>
    <t>uk.</t>
  </si>
  <si>
    <t>nákl.</t>
  </si>
  <si>
    <t>stav.</t>
  </si>
  <si>
    <t>0108</t>
  </si>
  <si>
    <t>Požiarná zbrojnica Trnové</t>
  </si>
  <si>
    <t>04/05</t>
  </si>
  <si>
    <t>07/06</t>
  </si>
  <si>
    <t>Kamerový systém Žilina</t>
  </si>
  <si>
    <t>03/05</t>
  </si>
  <si>
    <t>10/06</t>
  </si>
  <si>
    <t>Rozšír.plynu Pov.Chlmec</t>
  </si>
  <si>
    <t>09/00</t>
  </si>
  <si>
    <t>10/07</t>
  </si>
  <si>
    <t>0209</t>
  </si>
  <si>
    <t>Rozšír.plynu  Zástranie</t>
  </si>
  <si>
    <t>03/03</t>
  </si>
  <si>
    <t>12/06</t>
  </si>
  <si>
    <t>0501</t>
  </si>
  <si>
    <t>Rozšír.plynu Vranie</t>
  </si>
  <si>
    <t>08/04</t>
  </si>
  <si>
    <t>11/06</t>
  </si>
  <si>
    <t>Plynová prípojka KD Zástranie</t>
  </si>
  <si>
    <t>08/05</t>
  </si>
  <si>
    <t>06/06</t>
  </si>
  <si>
    <t>04.5.1</t>
  </si>
  <si>
    <t>9501</t>
  </si>
  <si>
    <t>Pešia zóna Mariánské nám.</t>
  </si>
  <si>
    <t>08/95</t>
  </si>
  <si>
    <t>0315</t>
  </si>
  <si>
    <t>Rekon.ul. Na Priekope</t>
  </si>
  <si>
    <t>06/05</t>
  </si>
  <si>
    <t>04/06</t>
  </si>
  <si>
    <t>9356</t>
  </si>
  <si>
    <t>Rek.ul.Vysokoškolákov II.st.</t>
  </si>
  <si>
    <t>06/03</t>
  </si>
  <si>
    <t>9652</t>
  </si>
  <si>
    <t>Rek.ul.Žitná,Bánovská</t>
  </si>
  <si>
    <t>09/98</t>
  </si>
  <si>
    <t>0051</t>
  </si>
  <si>
    <t>Rek.ul.Fándlyho</t>
  </si>
  <si>
    <t>0052</t>
  </si>
  <si>
    <t>Rek.ul.Bratislavská</t>
  </si>
  <si>
    <t>04/02</t>
  </si>
  <si>
    <t>Parkoviská MsÚ Žilina</t>
  </si>
  <si>
    <t>07/95</t>
  </si>
  <si>
    <t>5/04</t>
  </si>
  <si>
    <t>Rek.Škultétyho ul.</t>
  </si>
  <si>
    <t>05/03</t>
  </si>
  <si>
    <t>Námestie J.Pavla II.-I.Etapa</t>
  </si>
  <si>
    <t>07/05</t>
  </si>
  <si>
    <t>0203</t>
  </si>
  <si>
    <t>Rek.ul.Hollého</t>
  </si>
  <si>
    <t>09/06</t>
  </si>
  <si>
    <t>Rek.ul.Kukučínová</t>
  </si>
  <si>
    <t>Rek.komunik.Bánová</t>
  </si>
  <si>
    <t>05/05</t>
  </si>
  <si>
    <t>Rek.komunik.Bytčica</t>
  </si>
  <si>
    <t>Rek.komunik.Brodno</t>
  </si>
  <si>
    <t>Rek.komunik.Budatín</t>
  </si>
  <si>
    <t>Rek.komunik.Pov.Chlmec</t>
  </si>
  <si>
    <t>Rek.komunik.Strážov</t>
  </si>
  <si>
    <t>Rek.komunik.Trnové</t>
  </si>
  <si>
    <t>Rek.komunik.Vranie</t>
  </si>
  <si>
    <t>Rek.komunik.Zádubnie</t>
  </si>
  <si>
    <t>Komun.Pod starým majer.Zádub.</t>
  </si>
  <si>
    <t>06/07</t>
  </si>
  <si>
    <t>Rek.komunik.Zástranie</t>
  </si>
  <si>
    <t>Rek.komunik.Závodie</t>
  </si>
  <si>
    <t>Rek.komunik.Žil.Lehota</t>
  </si>
  <si>
    <t>Rek.vnútor.komunik.Hliny</t>
  </si>
  <si>
    <t>Návr rozpočtu na rok 2006</t>
  </si>
  <si>
    <t>Rek.vnútor.komunik.Vlčince</t>
  </si>
  <si>
    <t>Rek.vnútor.komunik.Hájik</t>
  </si>
  <si>
    <t>Rek.vnútor.komunik.Solinky</t>
  </si>
  <si>
    <t>Chodník Budatín-Letná</t>
  </si>
  <si>
    <t>08/06</t>
  </si>
  <si>
    <t>Chodník pre peších Budatín</t>
  </si>
  <si>
    <t>09/05</t>
  </si>
  <si>
    <t>Chodník pre peších v Zádubní</t>
  </si>
  <si>
    <t>Chodník  Žil.univerzita- Vlčince</t>
  </si>
  <si>
    <t>Rozšír.parkovísk na sídliskách</t>
  </si>
  <si>
    <t>Rek. komunik.Rosinky</t>
  </si>
  <si>
    <t>Kruh.križ.Závodská-Priemyselná</t>
  </si>
  <si>
    <t>10/04</t>
  </si>
  <si>
    <t>Oprava strechy MsÚ Žilina</t>
  </si>
  <si>
    <t>Oprava strechy KD Zástranie</t>
  </si>
  <si>
    <t>Oprava strechy KD Vranie</t>
  </si>
  <si>
    <t>06.3.0</t>
  </si>
  <si>
    <t>Rozšírenie vodovodu Vranie</t>
  </si>
  <si>
    <t>06.4.0</t>
  </si>
  <si>
    <t>Verejné osvetlenia</t>
  </si>
  <si>
    <t>08.1.0</t>
  </si>
  <si>
    <t>9811</t>
  </si>
  <si>
    <t>Automotodrom Bytčica</t>
  </si>
  <si>
    <t>0409</t>
  </si>
  <si>
    <t>AQUA PARK ŽILINA</t>
  </si>
  <si>
    <t>05/04</t>
  </si>
  <si>
    <t>9812</t>
  </si>
  <si>
    <t>Detské ihriská Vlčince</t>
  </si>
  <si>
    <t>0311</t>
  </si>
  <si>
    <t>Detské ihriská Solinky</t>
  </si>
  <si>
    <t>0301</t>
  </si>
  <si>
    <t>Detské ihriská Hájik</t>
  </si>
  <si>
    <t>03/02</t>
  </si>
  <si>
    <t>Rek.parku Budatín</t>
  </si>
  <si>
    <t>Biolog.obnova Sad Mieru Ža</t>
  </si>
  <si>
    <t>Biolog.obnova park Pov.Chlmec</t>
  </si>
  <si>
    <t>Revitalizácia Lesopark Žilina</t>
  </si>
  <si>
    <t>Mest.krytá plavár.kogeneranč.jed.</t>
  </si>
  <si>
    <t>0502</t>
  </si>
  <si>
    <t>Telocvičňa T18,Športová,Ža</t>
  </si>
  <si>
    <t>0314</t>
  </si>
  <si>
    <t>MŠK-Západná tribúna</t>
  </si>
  <si>
    <t>07/03</t>
  </si>
  <si>
    <t>0418</t>
  </si>
  <si>
    <t>MŠK- Východná tribúna</t>
  </si>
  <si>
    <t>ZŠ-ubytovanie pre športovcov</t>
  </si>
  <si>
    <t>10/05</t>
  </si>
  <si>
    <t>Minifotbalové ihrisko ZŠ Limbová</t>
  </si>
  <si>
    <t>Hokejbalové ihrisko Solinky</t>
  </si>
  <si>
    <t>05/06</t>
  </si>
  <si>
    <t>9601</t>
  </si>
  <si>
    <t>Slov.dvojkríž Žilina</t>
  </si>
  <si>
    <t>0312</t>
  </si>
  <si>
    <t>Rek.Burianovej veže</t>
  </si>
  <si>
    <t>0414</t>
  </si>
  <si>
    <t>Pamätník J.M.Hurbana</t>
  </si>
  <si>
    <t>10/03</t>
  </si>
  <si>
    <t>Fontána Mariánske námestie</t>
  </si>
  <si>
    <t>0313</t>
  </si>
  <si>
    <t>Zvonica Mojšová Lúčka</t>
  </si>
  <si>
    <t>Rozšírenie cintorína Strážov</t>
  </si>
  <si>
    <t>0205</t>
  </si>
  <si>
    <t>Rozšírenie cintorína Bytčica</t>
  </si>
  <si>
    <t>Rozšírenie cintorína Trnové</t>
  </si>
  <si>
    <t>Rozšírenie cintorína Vranie</t>
  </si>
  <si>
    <t>Rozšírenie cintorína Brodno</t>
  </si>
  <si>
    <t>Rozšírenie cintorína v Zádubní</t>
  </si>
  <si>
    <t>Zábradlia cintoríny</t>
  </si>
  <si>
    <t>Oplot.cintor.Brodno,Vranie,Budatín</t>
  </si>
  <si>
    <t>0405</t>
  </si>
  <si>
    <t>Centrum voľného času-plyn</t>
  </si>
  <si>
    <t>02/04</t>
  </si>
  <si>
    <t>09</t>
  </si>
  <si>
    <t>Vzdelávanie</t>
  </si>
  <si>
    <t>0402</t>
  </si>
  <si>
    <t>MŠ - Strážov -plyn</t>
  </si>
  <si>
    <t>06.1.0</t>
  </si>
  <si>
    <t>Parkov.stánia G4-Hájik 2.st.</t>
  </si>
  <si>
    <t>11/04</t>
  </si>
  <si>
    <t>10529</t>
  </si>
  <si>
    <t>32 tr.ZŠ Hájik</t>
  </si>
  <si>
    <t>09/91</t>
  </si>
  <si>
    <t>Bl.H6-20 b.j.+TV,Hájik 2,stavba</t>
  </si>
  <si>
    <t>Bl.H7-20 b.j.+TV,Hájik 2,stavba</t>
  </si>
  <si>
    <t>Bl.H8-20 b.j.+TV+TI,Hájik 2.st.</t>
  </si>
  <si>
    <t>04//05</t>
  </si>
  <si>
    <t>10704</t>
  </si>
  <si>
    <t>Bl.H9-36 b.j.-Hájik 2.st.+TV</t>
  </si>
  <si>
    <t>04/04</t>
  </si>
  <si>
    <t>11/05</t>
  </si>
  <si>
    <t>Žilina Hájik III.stavba-prípr.úz.</t>
  </si>
  <si>
    <t>01/05</t>
  </si>
  <si>
    <t>Žilina Solinky bl. S1,S2</t>
  </si>
  <si>
    <t>Žilina Solinky bl. S3,S4</t>
  </si>
  <si>
    <t>BL.E7- 30 b.j.+TV,Hájik 2.st.</t>
  </si>
  <si>
    <t>1/06</t>
  </si>
  <si>
    <t>BL.E8 - 30b.j.+TI+TV,Hájik 2.st.</t>
  </si>
  <si>
    <t>TV k BL.E6, Hájik 2.st.</t>
  </si>
  <si>
    <t>TV k BL.H5, Hájik 2.st.</t>
  </si>
  <si>
    <t>6/06</t>
  </si>
  <si>
    <t>TV k BL. H10, Hájik 2.st.</t>
  </si>
  <si>
    <t>10103</t>
  </si>
  <si>
    <t>IBV Závodie-Tech.infraštr.</t>
  </si>
  <si>
    <t>02/05</t>
  </si>
  <si>
    <t>Prekl.plynovod.H4-Hájik 2.st.</t>
  </si>
  <si>
    <t>101203</t>
  </si>
  <si>
    <t>IBV-Malý Diel</t>
  </si>
  <si>
    <t xml:space="preserve">Dokončenie plynu Závodie </t>
  </si>
  <si>
    <t>101103</t>
  </si>
  <si>
    <t>IBV-Bôrik III</t>
  </si>
  <si>
    <t>08/07</t>
  </si>
  <si>
    <t>tab.č.3</t>
  </si>
  <si>
    <t>Mzdy</t>
  </si>
  <si>
    <t>Poist.</t>
  </si>
  <si>
    <t>Cestov.</t>
  </si>
  <si>
    <t>Energie</t>
  </si>
  <si>
    <t>Materiál</t>
  </si>
  <si>
    <t>Dop-</t>
  </si>
  <si>
    <t>Rutinná</t>
  </si>
  <si>
    <t>Ostatné</t>
  </si>
  <si>
    <t>Bežné</t>
  </si>
  <si>
    <t xml:space="preserve">Splátky </t>
  </si>
  <si>
    <t>Finančné</t>
  </si>
  <si>
    <t>prísp.do</t>
  </si>
  <si>
    <t>výdav-</t>
  </si>
  <si>
    <t xml:space="preserve">voda a </t>
  </si>
  <si>
    <t>a do-</t>
  </si>
  <si>
    <t>ravné</t>
  </si>
  <si>
    <t>a štan-</t>
  </si>
  <si>
    <t>tovary</t>
  </si>
  <si>
    <t>transfery</t>
  </si>
  <si>
    <t>úrokov</t>
  </si>
  <si>
    <t>operácie</t>
  </si>
  <si>
    <t>poisť.</t>
  </si>
  <si>
    <t>ky</t>
  </si>
  <si>
    <t>komun.</t>
  </si>
  <si>
    <t>dávky</t>
  </si>
  <si>
    <t>dardná</t>
  </si>
  <si>
    <t>a služby,</t>
  </si>
  <si>
    <t>údržba</t>
  </si>
  <si>
    <t>nájomné</t>
  </si>
  <si>
    <t>Neštátne</t>
  </si>
  <si>
    <t>lesy</t>
  </si>
  <si>
    <t>úver</t>
  </si>
  <si>
    <t>Zásobovanie</t>
  </si>
  <si>
    <t>vodou</t>
  </si>
  <si>
    <t>Mestská</t>
  </si>
  <si>
    <t>doprava</t>
  </si>
  <si>
    <t>sporenie</t>
  </si>
  <si>
    <t>stravné</t>
  </si>
  <si>
    <t>Výstavba</t>
  </si>
  <si>
    <t>renault</t>
  </si>
  <si>
    <t>MK</t>
  </si>
  <si>
    <t>paplony</t>
  </si>
  <si>
    <t>telefon</t>
  </si>
  <si>
    <t>Závodné</t>
  </si>
  <si>
    <t>stravovanie</t>
  </si>
  <si>
    <t>04.1.0</t>
  </si>
  <si>
    <t>04.4.3</t>
  </si>
  <si>
    <t>tab.č.4</t>
  </si>
  <si>
    <t xml:space="preserve">Požiarna </t>
  </si>
  <si>
    <t>ochrana</t>
  </si>
  <si>
    <t>03.2.0</t>
  </si>
  <si>
    <t>Civilná</t>
  </si>
  <si>
    <t>obrana</t>
  </si>
  <si>
    <t>02.2.0</t>
  </si>
  <si>
    <t>krytá plav.</t>
  </si>
  <si>
    <t>Špotcentrum</t>
  </si>
  <si>
    <t xml:space="preserve">Spoločný </t>
  </si>
  <si>
    <t>stavebný</t>
  </si>
  <si>
    <t>Hokejový</t>
  </si>
  <si>
    <t>klub</t>
  </si>
  <si>
    <t>Ostatná</t>
  </si>
  <si>
    <t>činnosť vTV</t>
  </si>
  <si>
    <t>tab.č.5</t>
  </si>
  <si>
    <t xml:space="preserve">Kultúrne </t>
  </si>
  <si>
    <t>služby</t>
  </si>
  <si>
    <t>08.2</t>
  </si>
  <si>
    <t>Mestské</t>
  </si>
  <si>
    <t>divadlo</t>
  </si>
  <si>
    <t>08.2.0.9</t>
  </si>
  <si>
    <t>Ost.klub.</t>
  </si>
  <si>
    <t>zariadenia</t>
  </si>
  <si>
    <t>08.2.0.3</t>
  </si>
  <si>
    <t>Ost. činnosť</t>
  </si>
  <si>
    <t>v kultúre</t>
  </si>
  <si>
    <t>Zdravotné</t>
  </si>
  <si>
    <t>09.1.1</t>
  </si>
  <si>
    <t>Starostlivosť</t>
  </si>
  <si>
    <t>o star.obč.</t>
  </si>
  <si>
    <t>Sociálne</t>
  </si>
  <si>
    <t>výpomoce</t>
  </si>
  <si>
    <t>10.7.0</t>
  </si>
  <si>
    <t>Opatrovateľ.</t>
  </si>
  <si>
    <t>služba</t>
  </si>
  <si>
    <t>tab.č.6</t>
  </si>
  <si>
    <t>Nakladanie</t>
  </si>
  <si>
    <t>s odpadový-</t>
  </si>
  <si>
    <t>05.2.0</t>
  </si>
  <si>
    <t>Byt. hospod.</t>
  </si>
  <si>
    <t>06.6</t>
  </si>
  <si>
    <t>Ost. výdavky</t>
  </si>
  <si>
    <t>byt.hospodár.</t>
  </si>
  <si>
    <t xml:space="preserve">Ropa </t>
  </si>
  <si>
    <t>a zemný plyn</t>
  </si>
  <si>
    <t>04.3.2</t>
  </si>
  <si>
    <t xml:space="preserve">Rekreačná </t>
  </si>
  <si>
    <t>starostlivosť</t>
  </si>
  <si>
    <t>Rozvoj</t>
  </si>
  <si>
    <t>bývania</t>
  </si>
  <si>
    <t>Verejné</t>
  </si>
  <si>
    <t xml:space="preserve">prospešné </t>
  </si>
  <si>
    <t>tab.č.7</t>
  </si>
  <si>
    <t>Náboženské</t>
  </si>
  <si>
    <t>08.4.</t>
  </si>
  <si>
    <t>polícia</t>
  </si>
  <si>
    <t>03.1</t>
  </si>
  <si>
    <t>Matrika</t>
  </si>
  <si>
    <t>01.3.3</t>
  </si>
  <si>
    <t>Správa</t>
  </si>
  <si>
    <t>mests.úradu</t>
  </si>
  <si>
    <t>Ost.príj.a výd.</t>
  </si>
  <si>
    <t>z finan.opatr.</t>
  </si>
  <si>
    <t>01.1.2</t>
  </si>
  <si>
    <t xml:space="preserve">VÝDAVKY   </t>
  </si>
  <si>
    <t>R06</t>
  </si>
  <si>
    <t xml:space="preserve">Rozpočet </t>
  </si>
  <si>
    <t>na rok</t>
  </si>
  <si>
    <t>2006- 1.zmena</t>
  </si>
  <si>
    <t>Verejnoprospešné služby</t>
  </si>
  <si>
    <t>PRÍJMY CELKOM</t>
  </si>
  <si>
    <t>454</t>
  </si>
  <si>
    <t>01.1.1.6</t>
  </si>
  <si>
    <t>0.4.2</t>
  </si>
  <si>
    <t>Bytčica - rozšírenie elektrickej siete</t>
  </si>
  <si>
    <t>Chodník Bytčianská ul. Pov. Chlmec</t>
  </si>
  <si>
    <t>Plyn Bystrická a  ul. Za kostolom</t>
  </si>
  <si>
    <t>2006- 2.zmena</t>
  </si>
  <si>
    <t>2. zmena</t>
  </si>
  <si>
    <t>Rozpočet verejnoprospešných služieb</t>
  </si>
  <si>
    <t>Rozpočet príspevkových organizácií</t>
  </si>
  <si>
    <t xml:space="preserve">Rozpočet investičnej výstavby Mesta Žilina </t>
  </si>
  <si>
    <t xml:space="preserve">Rozpočet príjmov </t>
  </si>
  <si>
    <t xml:space="preserve">Rozpočet príjmov a výdavkov </t>
  </si>
  <si>
    <t>Kapitálové</t>
  </si>
  <si>
    <t>výdavky</t>
  </si>
  <si>
    <t>RO6 - rozpočet 2006</t>
  </si>
  <si>
    <t>10.2.0.</t>
  </si>
  <si>
    <t>Ochrana</t>
  </si>
  <si>
    <t>prírody</t>
  </si>
  <si>
    <t>Ostatné transfery / voľby, životné prostredie /</t>
  </si>
  <si>
    <t>ZŠ Brodno plyn</t>
  </si>
  <si>
    <t>12/05</t>
  </si>
  <si>
    <t>Rozšírenie vodovodu Zádubnie-Zástra.</t>
  </si>
  <si>
    <t>10/94</t>
  </si>
  <si>
    <t>Tréningová hala pi ZŠ - vzduchot.</t>
  </si>
  <si>
    <t>7/06</t>
  </si>
  <si>
    <t>KD Zástranie</t>
  </si>
  <si>
    <t>Asanácia klub Slovena</t>
  </si>
  <si>
    <t>ŽA- balustrády</t>
  </si>
  <si>
    <t>Rekonštrukcia kostola Bytčica</t>
  </si>
  <si>
    <t>Kaplnka Závodie</t>
  </si>
  <si>
    <t>Parkov.stánia G7-Hájik 2.st.</t>
  </si>
  <si>
    <t>10804</t>
  </si>
  <si>
    <t>Blok G-1 - 37 b.j.</t>
  </si>
  <si>
    <t>10105</t>
  </si>
  <si>
    <t>10205</t>
  </si>
  <si>
    <t>Blok G-2 - 37 b.j.</t>
  </si>
  <si>
    <t>10104</t>
  </si>
  <si>
    <t>Blok G7</t>
  </si>
  <si>
    <t>10904</t>
  </si>
  <si>
    <t>03/04</t>
  </si>
  <si>
    <t>10404</t>
  </si>
  <si>
    <t>Blok G4-36 b.j + TV</t>
  </si>
  <si>
    <t>Blok G3-24 b.j. + TV</t>
  </si>
  <si>
    <t xml:space="preserve">Nízkonákladové byty </t>
  </si>
  <si>
    <t>4/06</t>
  </si>
  <si>
    <t>321001</t>
  </si>
  <si>
    <t>Prijaté úvery zo ŠFRB</t>
  </si>
  <si>
    <t>Ostatné úvery</t>
  </si>
  <si>
    <t xml:space="preserve"> -</t>
  </si>
  <si>
    <t>Poplatky a platby z nepriemysel.a náhod.pred.</t>
  </si>
  <si>
    <t>Za vjazd motorovým vozidlom do histor.častí</t>
  </si>
  <si>
    <t>Transfery na matričnú činnosť - prenesené komp.</t>
  </si>
  <si>
    <t>Dom smútku Mojšová Lúčka</t>
  </si>
  <si>
    <t>Regionálny rozvoj - bežné granty</t>
  </si>
  <si>
    <t>Regionálny rozvoj - kap.granty</t>
  </si>
  <si>
    <t>Rekonštrukcia Športová ul.</t>
  </si>
  <si>
    <t>Rozpočet výdavkov</t>
  </si>
  <si>
    <t>2006-pôv.</t>
  </si>
  <si>
    <t>TV k BL. H11, Hájik 2.st.</t>
  </si>
  <si>
    <t>6/07</t>
  </si>
  <si>
    <t>tis.sk</t>
  </si>
  <si>
    <t>9/06</t>
  </si>
  <si>
    <t>02/07</t>
  </si>
  <si>
    <t>Prekládka trol.ved. -Hurbanova ul.</t>
  </si>
  <si>
    <t>Dop. nap. zastav. MHD-OD TESCO</t>
  </si>
  <si>
    <t>Prekládka IS a VO - Kálov</t>
  </si>
  <si>
    <t>Plnenie</t>
  </si>
  <si>
    <t>za rok 2006</t>
  </si>
  <si>
    <t>SO6</t>
  </si>
  <si>
    <t>%</t>
  </si>
  <si>
    <t xml:space="preserve">Plnenie </t>
  </si>
  <si>
    <t>Stacionár -jedáleň dôchodcov</t>
  </si>
  <si>
    <t xml:space="preserve">Transfer na KSÚ , ŠFRB - prenesené </t>
  </si>
  <si>
    <t>Granty ostatné / školstvo ,FNM /</t>
  </si>
  <si>
    <t>SO6 - skutočnosť za rok 2006</t>
  </si>
  <si>
    <t>úrad+ŠFRB</t>
  </si>
  <si>
    <t>Reliéf - Ruppeldt</t>
  </si>
  <si>
    <t>2/06</t>
  </si>
  <si>
    <t>Dom smútku Trnové</t>
  </si>
  <si>
    <t xml:space="preserve">            ostatné/granty/</t>
  </si>
  <si>
    <t>Príloha č. 2</t>
  </si>
  <si>
    <t>UKAZOVATEĽ</t>
  </si>
  <si>
    <t>Mest. krytá</t>
  </si>
  <si>
    <t>Spolu</t>
  </si>
  <si>
    <t>plaváreň</t>
  </si>
  <si>
    <t>Výnosy celkom</t>
  </si>
  <si>
    <t>z toho: vlastné príjmy</t>
  </si>
  <si>
    <t>Náklady celkom</t>
  </si>
  <si>
    <t>z toho: bežné výdavky</t>
  </si>
  <si>
    <t xml:space="preserve">           kapitál. výdavky</t>
  </si>
  <si>
    <t>Transfer celkom</t>
  </si>
  <si>
    <t>z toho: Mestský úrad</t>
  </si>
  <si>
    <t>v tom: na bež. výdavky</t>
  </si>
  <si>
    <t xml:space="preserve">         -na kap. výdavky</t>
  </si>
  <si>
    <t xml:space="preserve">         -účelovo určené </t>
  </si>
  <si>
    <t xml:space="preserve">        z rozpočtu mesta</t>
  </si>
  <si>
    <t xml:space="preserve">         -ostatné</t>
  </si>
  <si>
    <t>Zisk + strata</t>
  </si>
  <si>
    <t>Prídel do fondov celk.</t>
  </si>
  <si>
    <t>z toho: fond repro-</t>
  </si>
  <si>
    <t xml:space="preserve">           ducie hmot. m.</t>
  </si>
  <si>
    <t xml:space="preserve">           rezervný fond</t>
  </si>
  <si>
    <t xml:space="preserve">           iné fondy</t>
  </si>
  <si>
    <t>Limit na reprezent.</t>
  </si>
  <si>
    <t>účely</t>
  </si>
  <si>
    <t xml:space="preserve">Limit mzdových </t>
  </si>
  <si>
    <t>prostriedkov</t>
  </si>
  <si>
    <t xml:space="preserve">Odvod do rozpočtu </t>
  </si>
  <si>
    <t>mesta celkom z fin.</t>
  </si>
  <si>
    <t xml:space="preserve"> vysporiadania </t>
  </si>
  <si>
    <t>za rok 2004</t>
  </si>
  <si>
    <t>Krytie schodku hos-</t>
  </si>
  <si>
    <t>podárenia z finanč.</t>
  </si>
  <si>
    <t>hospodárenia mesta</t>
  </si>
  <si>
    <t>podárenia z vlastných</t>
  </si>
  <si>
    <t>zdrojov organizácie</t>
  </si>
  <si>
    <t>Regionálny rozvoj-kap.</t>
  </si>
  <si>
    <t>Regionálny rozvoj-bežný</t>
  </si>
  <si>
    <t>Humanitárny fond</t>
  </si>
  <si>
    <t>Poplatky banke</t>
  </si>
  <si>
    <t>Úroky</t>
  </si>
  <si>
    <t>Rezervný fond</t>
  </si>
  <si>
    <t>Fond životného prostredia</t>
  </si>
  <si>
    <t>Združené prostriedky</t>
  </si>
  <si>
    <t>Fond rozvoja bývania</t>
  </si>
  <si>
    <t>Termínovaný vkladový účet FRB</t>
  </si>
  <si>
    <t>2.strana</t>
  </si>
  <si>
    <t xml:space="preserve">v tom : </t>
  </si>
  <si>
    <t>z obligácií / III.KOM/</t>
  </si>
  <si>
    <t>z obligácií / IV.KOM/</t>
  </si>
  <si>
    <t>Fond kriminality</t>
  </si>
  <si>
    <t>Stav fondu k 1.1. 2006</t>
  </si>
  <si>
    <t>Združené do fondu v roku 2006</t>
  </si>
  <si>
    <t>Použité prostriedky v roku 2006</t>
  </si>
  <si>
    <t>Použité prostriedky v roku 2006 ( finančná výpomoc - MÚ )</t>
  </si>
  <si>
    <t>Zostatok fondu k 31.12.2006</t>
  </si>
  <si>
    <t xml:space="preserve">Tvorba umorovacieho fondu na splátku výnosov a istiny </t>
  </si>
  <si>
    <t>Tvorba umorovacieho fondu na splátku výnosov  a istiny</t>
  </si>
  <si>
    <t>Úhrada faktúry na výstavbu nájomných bytov H6,7,8</t>
  </si>
  <si>
    <t xml:space="preserve"> </t>
  </si>
  <si>
    <t>Daň z nehnuteľnosti</t>
  </si>
  <si>
    <t>Poplatok za vodu</t>
  </si>
  <si>
    <t>Lokalizačný poplatok</t>
  </si>
  <si>
    <t>P o h ľ a d á v k y</t>
  </si>
  <si>
    <t>Celkom - Sk</t>
  </si>
  <si>
    <t>z  toho</t>
  </si>
  <si>
    <t xml:space="preserve"> krátkodobé</t>
  </si>
  <si>
    <t xml:space="preserve"> dlhodobé</t>
  </si>
  <si>
    <t xml:space="preserve"> vo vymáhaní</t>
  </si>
  <si>
    <t>Odberatelia - pohľ. po MŠK</t>
  </si>
  <si>
    <t>Poskytnuté prevádzkové preddavky</t>
  </si>
  <si>
    <t>Iné pohľadávky (stravné-DJ,VPP,MsP,jed.MsÚ)</t>
  </si>
  <si>
    <t>Pohľ. - nájomné zmluvy</t>
  </si>
  <si>
    <t>Pohľ. - poplatky za znečistenie</t>
  </si>
  <si>
    <t>Pohľ. - refundácie z min. rokov</t>
  </si>
  <si>
    <t>SU - pohľadávky</t>
  </si>
  <si>
    <t>Iné pohľadávky - KD Vlčince</t>
  </si>
  <si>
    <t>OPHP - popl. chaty</t>
  </si>
  <si>
    <t>Opatrov. služby - soc.</t>
  </si>
  <si>
    <t>MP - odťahová služba</t>
  </si>
  <si>
    <t>Poplatky za výherné prístroje</t>
  </si>
  <si>
    <t>Pohľ. po likvid. podnikoch -  PS II.</t>
  </si>
  <si>
    <t>Pohľ. po likvid. podnikoch - PS HV</t>
  </si>
  <si>
    <t>Pohľ. po likvid. podnikoch - Mototrans</t>
  </si>
  <si>
    <t>Pohľ. po likvid. podnikoch - Kovoslužba</t>
  </si>
  <si>
    <t>Pohľ. po likvid. podnikoch - Obnova</t>
  </si>
  <si>
    <t>Pôžička MsHK</t>
  </si>
  <si>
    <t>Pôžička Reštaurácie</t>
  </si>
  <si>
    <t>Letisko - fin. výpomoc</t>
  </si>
  <si>
    <t>Pohľ.  - kúpne zmluvy</t>
  </si>
  <si>
    <t>Pohľ.  - predaj bytov</t>
  </si>
  <si>
    <t>SPP - Žilina</t>
  </si>
  <si>
    <t>Iné pohľadávky - Kolárik</t>
  </si>
  <si>
    <t>G. Varnai - dohoda</t>
  </si>
  <si>
    <t>Zámenná zmluva - Slovak Telekom</t>
  </si>
  <si>
    <t>Daň za psov</t>
  </si>
  <si>
    <t>Daň za nevýh.hracie prístr.</t>
  </si>
  <si>
    <t>Daň za ubytovanie</t>
  </si>
  <si>
    <t>Daň za pred.automaty</t>
  </si>
  <si>
    <t>Refakturácie</t>
  </si>
  <si>
    <t xml:space="preserve">   Mestský úrad Žilina  -  c e l k o m</t>
  </si>
  <si>
    <t>Bytterm, a.s. Žilina</t>
  </si>
  <si>
    <t xml:space="preserve">   MESTO ŽILINA  -  c e l k o m</t>
  </si>
  <si>
    <t>MESTSKÝ ÚRAD   ŽILINA</t>
  </si>
  <si>
    <t>Z á v ä z k y  k  31.12.2006</t>
  </si>
  <si>
    <t>Dlhodobé záväzky</t>
  </si>
  <si>
    <t>- Emit.dlhopisy (komunálne obligácie)           (účet 953)</t>
  </si>
  <si>
    <r>
      <t xml:space="preserve">- Finančná výpomoc MF SR  </t>
    </r>
    <r>
      <rPr>
        <i/>
        <sz val="9"/>
        <rFont val="Arial CE"/>
        <family val="0"/>
      </rPr>
      <t>(037)</t>
    </r>
    <r>
      <rPr>
        <b/>
        <i/>
        <sz val="10"/>
        <rFont val="Arial CE"/>
        <family val="2"/>
      </rPr>
      <t xml:space="preserve">                 (účet 951)</t>
    </r>
  </si>
  <si>
    <r>
      <t xml:space="preserve">- Finančná výpomoc MF SR  </t>
    </r>
    <r>
      <rPr>
        <i/>
        <sz val="10"/>
        <rFont val="Arial CE"/>
        <family val="0"/>
      </rPr>
      <t>(080)</t>
    </r>
    <r>
      <rPr>
        <b/>
        <i/>
        <sz val="10"/>
        <rFont val="Arial CE"/>
        <family val="2"/>
      </rPr>
      <t xml:space="preserve">                 (účet 951)</t>
    </r>
  </si>
  <si>
    <t>- Dlhodobé bankové úvery :                            (účet 951)</t>
  </si>
  <si>
    <t xml:space="preserve">   z toho :  DEXIA č. 02/108/01</t>
  </si>
  <si>
    <t xml:space="preserve">                DEXIA-ŠFRB č. 4133/01</t>
  </si>
  <si>
    <t xml:space="preserve">                DEXIA-ŠFRB č. 4134/01</t>
  </si>
  <si>
    <t xml:space="preserve">                DEXIA-ŠFRB č. 4135/01</t>
  </si>
  <si>
    <t xml:space="preserve">                DEXIA-ŠFRB č. 2433/02</t>
  </si>
  <si>
    <t xml:space="preserve">               TATRABANKA</t>
  </si>
  <si>
    <t>DEXIA č. 02/078/04 ( 19 3)</t>
  </si>
  <si>
    <t>DEXIA č. 02/078/04 ( 25 3)</t>
  </si>
  <si>
    <t>OTP-ŠFRB č. 511/230/04</t>
  </si>
  <si>
    <t>OTP-ŠFRB č. 511/1328/04</t>
  </si>
  <si>
    <t>OTP-ŠFRB č. 511/625/05</t>
  </si>
  <si>
    <t>OTP-ŠFRB č. 511/868/05</t>
  </si>
  <si>
    <t>OTP-ŠFRB č. 511/869/05</t>
  </si>
  <si>
    <t>DEXIA č. 02/417/05</t>
  </si>
  <si>
    <t>OTP-ŠFRB č. 511/534/06</t>
  </si>
  <si>
    <t>OTP-ŠFRB č. 511/535/06</t>
  </si>
  <si>
    <t>DEXIA č. 02/143/06</t>
  </si>
  <si>
    <t>Krátkodobé záväzky</t>
  </si>
  <si>
    <t>Dodávatelia                                                  (účet 321)</t>
  </si>
  <si>
    <t xml:space="preserve">z toho:   - ostatní dodávatelia </t>
  </si>
  <si>
    <t xml:space="preserve">             - ostatní dodávatelia - rozvoj. programy  (KBV)</t>
  </si>
  <si>
    <t xml:space="preserve">             - ostatní dodávatelia - MŠK</t>
  </si>
  <si>
    <t xml:space="preserve">             - prevzaté záväzky z Podniku služieb HV</t>
  </si>
  <si>
    <t xml:space="preserve">             - rozvojové programy</t>
  </si>
  <si>
    <t xml:space="preserve">             - ostatní inv. dodávatelia </t>
  </si>
  <si>
    <t xml:space="preserve">             - dodávatelia - bežné výdavky</t>
  </si>
  <si>
    <t xml:space="preserve">             - dodávatelia - bežné výdavky (MsP)</t>
  </si>
  <si>
    <t>Ostatné záväzky                                           (účet 325)</t>
  </si>
  <si>
    <t>z toho:   - mylné platby k príjm. účtu</t>
  </si>
  <si>
    <t xml:space="preserve">             - MsÚ - mylné platby (001)</t>
  </si>
  <si>
    <t xml:space="preserve">             - matrika - mylné platby (055)</t>
  </si>
  <si>
    <t xml:space="preserve">             - opatrov.služba - mylné platby (036)</t>
  </si>
  <si>
    <t xml:space="preserve">             - prevzaté záväzky z Pod.služieb II.</t>
  </si>
  <si>
    <t xml:space="preserve">             - prevzaté záväzky Pod.služieb Zc v likv.- archív</t>
  </si>
  <si>
    <t xml:space="preserve">             - prevzaté záväzky Pod.služieb HV v likv. - archív</t>
  </si>
  <si>
    <t xml:space="preserve">             - zrážky z platov pracovníkov</t>
  </si>
  <si>
    <t xml:space="preserve">             - stravné - MsÚ</t>
  </si>
  <si>
    <t xml:space="preserve">             - stravné - opatrov.</t>
  </si>
  <si>
    <t xml:space="preserve">             - stravné - matrika</t>
  </si>
  <si>
    <r>
      <t>Prijaté preddavky</t>
    </r>
    <r>
      <rPr>
        <i/>
        <sz val="10"/>
        <rFont val="Arial CE"/>
        <family val="2"/>
      </rPr>
      <t xml:space="preserve"> - spoloč.obec.úr.               </t>
    </r>
    <r>
      <rPr>
        <b/>
        <i/>
        <sz val="10"/>
        <rFont val="Arial CE"/>
        <family val="2"/>
      </rPr>
      <t>(účet 324)</t>
    </r>
  </si>
  <si>
    <t>Iné záväzky spolu                                      (účet 379)</t>
  </si>
  <si>
    <t>z toho:    - ostatné</t>
  </si>
  <si>
    <t xml:space="preserve">              - Kom.voľby 2006</t>
  </si>
  <si>
    <t xml:space="preserve">              - MŠK- neuhrad.strata</t>
  </si>
  <si>
    <t xml:space="preserve">              - Poliklinika - priv. majetok</t>
  </si>
  <si>
    <t>Záväzky voči zamestnancom spolu</t>
  </si>
  <si>
    <r>
      <t xml:space="preserve">z toho:    - </t>
    </r>
    <r>
      <rPr>
        <b/>
        <i/>
        <sz val="10"/>
        <rFont val="Arial CE"/>
        <family val="2"/>
      </rPr>
      <t>účet 331</t>
    </r>
    <r>
      <rPr>
        <i/>
        <sz val="10"/>
        <rFont val="Arial CE"/>
        <family val="2"/>
      </rPr>
      <t xml:space="preserve"> - mzdy </t>
    </r>
  </si>
  <si>
    <r>
      <t xml:space="preserve">              - </t>
    </r>
    <r>
      <rPr>
        <b/>
        <i/>
        <sz val="10"/>
        <rFont val="Arial CE"/>
        <family val="2"/>
      </rPr>
      <t xml:space="preserve">účet 335 </t>
    </r>
    <r>
      <rPr>
        <i/>
        <sz val="10"/>
        <rFont val="Arial CE"/>
        <family val="0"/>
      </rPr>
      <t>- zálohy na služ.cesty</t>
    </r>
  </si>
  <si>
    <r>
      <t xml:space="preserve">              - </t>
    </r>
    <r>
      <rPr>
        <b/>
        <i/>
        <sz val="10"/>
        <rFont val="Arial CE"/>
        <family val="2"/>
      </rPr>
      <t>účet 336</t>
    </r>
    <r>
      <rPr>
        <i/>
        <sz val="10"/>
        <rFont val="Arial CE"/>
        <family val="2"/>
      </rPr>
      <t xml:space="preserve"> - zúčtovanie NP</t>
    </r>
  </si>
  <si>
    <r>
      <t xml:space="preserve">              -</t>
    </r>
    <r>
      <rPr>
        <b/>
        <i/>
        <sz val="10"/>
        <rFont val="Arial CE"/>
        <family val="2"/>
      </rPr>
      <t xml:space="preserve"> účet 342</t>
    </r>
    <r>
      <rPr>
        <i/>
        <sz val="10"/>
        <rFont val="Arial CE"/>
        <family val="2"/>
      </rPr>
      <t xml:space="preserve"> - daň z príjmu FO</t>
    </r>
  </si>
  <si>
    <t xml:space="preserve">   Bytterm, a.s. Žilina</t>
  </si>
  <si>
    <t xml:space="preserve"> MESTO ŽILINA  -  c e l k o m</t>
  </si>
  <si>
    <t xml:space="preserve">Zostatok fondu k 31.12.2006 </t>
  </si>
  <si>
    <t>Použitie a zostatky fondov mesta k 31.12.2006</t>
  </si>
  <si>
    <t>P.</t>
  </si>
  <si>
    <t>Názov</t>
  </si>
  <si>
    <t>Výkaz.</t>
  </si>
  <si>
    <t xml:space="preserve">Rozpoč. </t>
  </si>
  <si>
    <t>č.</t>
  </si>
  <si>
    <t>organizácie</t>
  </si>
  <si>
    <t>príjmy</t>
  </si>
  <si>
    <t>výdav.</t>
  </si>
  <si>
    <t>prenes.</t>
  </si>
  <si>
    <t>origin.</t>
  </si>
  <si>
    <t>kapit.</t>
  </si>
  <si>
    <t>príj.</t>
  </si>
  <si>
    <t>PK</t>
  </si>
  <si>
    <t>OK</t>
  </si>
  <si>
    <t>kom.+HN</t>
  </si>
  <si>
    <t>kompet.</t>
  </si>
  <si>
    <t>z príj.</t>
  </si>
  <si>
    <t>a HN</t>
  </si>
  <si>
    <t>a príj.</t>
  </si>
  <si>
    <t>1.</t>
  </si>
  <si>
    <t xml:space="preserve"> ZŠ  Bytčica</t>
  </si>
  <si>
    <t>2.</t>
  </si>
  <si>
    <t xml:space="preserve">       Zádubnie</t>
  </si>
  <si>
    <t>3.</t>
  </si>
  <si>
    <t xml:space="preserve">       Bánova</t>
  </si>
  <si>
    <t>4.</t>
  </si>
  <si>
    <t xml:space="preserve">       Brodno</t>
  </si>
  <si>
    <t>5.</t>
  </si>
  <si>
    <t xml:space="preserve">       Budatín</t>
  </si>
  <si>
    <t>6.</t>
  </si>
  <si>
    <t xml:space="preserve">       Mojš. Lúčka</t>
  </si>
  <si>
    <t>7.</t>
  </si>
  <si>
    <t xml:space="preserve">       Trnové</t>
  </si>
  <si>
    <t>8.</t>
  </si>
  <si>
    <t xml:space="preserve">       Závodie</t>
  </si>
  <si>
    <t>9.</t>
  </si>
  <si>
    <t xml:space="preserve">       Hollého ul.</t>
  </si>
  <si>
    <t>10.</t>
  </si>
  <si>
    <t xml:space="preserve">       V. Javorku</t>
  </si>
  <si>
    <t>11.</t>
  </si>
  <si>
    <t xml:space="preserve">       Orav.cesta</t>
  </si>
  <si>
    <t>12.</t>
  </si>
  <si>
    <t xml:space="preserve">       Jarná</t>
  </si>
  <si>
    <t>13.</t>
  </si>
  <si>
    <t xml:space="preserve">       Lichardova</t>
  </si>
  <si>
    <t>14.</t>
  </si>
  <si>
    <t xml:space="preserve">       Gorazda</t>
  </si>
  <si>
    <t>15.</t>
  </si>
  <si>
    <t xml:space="preserve">       Karpatská</t>
  </si>
  <si>
    <t>16.</t>
  </si>
  <si>
    <t xml:space="preserve">       Martinská</t>
  </si>
  <si>
    <t>17.</t>
  </si>
  <si>
    <t xml:space="preserve">       Gaštanová</t>
  </si>
  <si>
    <t>18.</t>
  </si>
  <si>
    <t xml:space="preserve">       Limbová</t>
  </si>
  <si>
    <t>19.</t>
  </si>
  <si>
    <t xml:space="preserve">       Hájik</t>
  </si>
  <si>
    <t>20.</t>
  </si>
  <si>
    <t xml:space="preserve"> ZUŠ Arvaya</t>
  </si>
  <si>
    <t>21.</t>
  </si>
  <si>
    <t>22.</t>
  </si>
  <si>
    <t>23.</t>
  </si>
  <si>
    <t xml:space="preserve"> CVČ Hurbanova</t>
  </si>
  <si>
    <t>24.</t>
  </si>
  <si>
    <t xml:space="preserve"> SSŠ Varšavská</t>
  </si>
  <si>
    <t>25.</t>
  </si>
  <si>
    <t xml:space="preserve"> MŠ  Bánova</t>
  </si>
  <si>
    <t>26.</t>
  </si>
  <si>
    <t xml:space="preserve">        Budatín</t>
  </si>
  <si>
    <t>27.</t>
  </si>
  <si>
    <t xml:space="preserve">        Bytčica</t>
  </si>
  <si>
    <t>28.</t>
  </si>
  <si>
    <t xml:space="preserve">        Mojš. Lúčka</t>
  </si>
  <si>
    <t>29.</t>
  </si>
  <si>
    <t xml:space="preserve">        Pov. Chlmec</t>
  </si>
  <si>
    <t>30.</t>
  </si>
  <si>
    <t xml:space="preserve">        Strážov</t>
  </si>
  <si>
    <t>31.</t>
  </si>
  <si>
    <t xml:space="preserve">        Zástranie</t>
  </si>
  <si>
    <t>32.</t>
  </si>
  <si>
    <t xml:space="preserve">        A. Kmeťa</t>
  </si>
  <si>
    <t>33.</t>
  </si>
  <si>
    <t xml:space="preserve">        Predmest.</t>
  </si>
  <si>
    <t>34.</t>
  </si>
  <si>
    <t xml:space="preserve">        Stavbárska</t>
  </si>
  <si>
    <t>35.</t>
  </si>
  <si>
    <t xml:space="preserve">        Puškinova</t>
  </si>
  <si>
    <t>36.</t>
  </si>
  <si>
    <t xml:space="preserve">        Čajákova</t>
  </si>
  <si>
    <t>37.</t>
  </si>
  <si>
    <t xml:space="preserve">        V. Javorku</t>
  </si>
  <si>
    <t>38.</t>
  </si>
  <si>
    <t xml:space="preserve">        Bajzova</t>
  </si>
  <si>
    <t>39.</t>
  </si>
  <si>
    <t xml:space="preserve">        Jarná</t>
  </si>
  <si>
    <t>40.</t>
  </si>
  <si>
    <t xml:space="preserve">        Lichardova</t>
  </si>
  <si>
    <t>41.</t>
  </si>
  <si>
    <t xml:space="preserve">        Borodáča 6</t>
  </si>
  <si>
    <t>42.</t>
  </si>
  <si>
    <t xml:space="preserve">        Borodáča 7</t>
  </si>
  <si>
    <t>43.</t>
  </si>
  <si>
    <t xml:space="preserve">        Gemerská</t>
  </si>
  <si>
    <t>44.</t>
  </si>
  <si>
    <t xml:space="preserve">        Trnavská</t>
  </si>
  <si>
    <t>45.</t>
  </si>
  <si>
    <t xml:space="preserve">        Limbová</t>
  </si>
  <si>
    <t>46.</t>
  </si>
  <si>
    <t xml:space="preserve">        Hájik</t>
  </si>
  <si>
    <t xml:space="preserve"> S p o l u :</t>
  </si>
  <si>
    <t>Plnenie rozpočtu školských zariadení v roku 2006</t>
  </si>
  <si>
    <t>Rekapitulácia úverov k 31.12.2006</t>
  </si>
  <si>
    <t>Veriteľ / Banka</t>
  </si>
  <si>
    <t>Typ</t>
  </si>
  <si>
    <t>Účel</t>
  </si>
  <si>
    <t xml:space="preserve">Pôvodná </t>
  </si>
  <si>
    <t xml:space="preserve">Ročná splátka </t>
  </si>
  <si>
    <t xml:space="preserve">Zostatok </t>
  </si>
  <si>
    <t>Dátum</t>
  </si>
  <si>
    <t>úveru</t>
  </si>
  <si>
    <t>výška úveru</t>
  </si>
  <si>
    <t>istiny</t>
  </si>
  <si>
    <t>splatnosti</t>
  </si>
  <si>
    <t>Dexia banka a.s.</t>
  </si>
  <si>
    <t>dlhodobý  inves.</t>
  </si>
  <si>
    <t>výstavba bytov</t>
  </si>
  <si>
    <t>investičná výstavba</t>
  </si>
  <si>
    <t>Tatra banka a.s.</t>
  </si>
  <si>
    <t>strednodob</t>
  </si>
  <si>
    <t>splátka KO</t>
  </si>
  <si>
    <t>Ľudová banka a.s.</t>
  </si>
  <si>
    <t>kontokorent</t>
  </si>
  <si>
    <t>bežné výdavky</t>
  </si>
  <si>
    <t xml:space="preserve">ŠFRB - Dexia banka </t>
  </si>
  <si>
    <t>ŠFRB</t>
  </si>
  <si>
    <t>výstavba nájomných bytov</t>
  </si>
  <si>
    <t>ŠFRB - OTP banka</t>
  </si>
  <si>
    <t>Záväzky z emisie dlhopisov</t>
  </si>
  <si>
    <t>Emitent</t>
  </si>
  <si>
    <t>vydané</t>
  </si>
  <si>
    <t>Objem emisie</t>
  </si>
  <si>
    <t>Ročná tvorba</t>
  </si>
  <si>
    <t>v Sk</t>
  </si>
  <si>
    <t>umor.fondu</t>
  </si>
  <si>
    <t>prepojenie Vlčince - Solinky</t>
  </si>
  <si>
    <t>Návratná finančná výpomoc zo ŠR</t>
  </si>
  <si>
    <t>MF SR</t>
  </si>
  <si>
    <t>návratná fin.výpomoc</t>
  </si>
  <si>
    <t>výkup pozemkov pod závody</t>
  </si>
  <si>
    <t>výstavba obyt.súboru Krasňany</t>
  </si>
  <si>
    <t>Európska únia</t>
  </si>
  <si>
    <r>
      <t>04.3.2 Ropa, zemný plyn, elektrická energia</t>
    </r>
    <r>
      <rPr>
        <b/>
        <sz val="12"/>
        <rFont val="Arial"/>
        <family val="2"/>
      </rPr>
      <t xml:space="preserve">: </t>
    </r>
  </si>
  <si>
    <t xml:space="preserve">9801 Rozšírenie plynu Považský Chlmec : 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</si>
  <si>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Arial"/>
        <family val="2"/>
      </rPr>
      <t>realizovala sa plynofikácia ulice Na Hôrke, stavba je dokončená a skolaudovaná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</si>
  <si>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Arial"/>
        <family val="2"/>
      </rPr>
      <t>ulica Pri Kysuci je pred dokončením zabezpečujú sa doklady k preberaciemu konaniu stavby.</t>
    </r>
  </si>
  <si>
    <t xml:space="preserve">0601 Plynová prípojka a kotolňa KD Zástranie : </t>
  </si>
  <si>
    <t xml:space="preserve">     -  stavba je dokončená zabezpečuje sa vydanie kolaudačného rozhodnutia.</t>
  </si>
  <si>
    <t>0404 ZŠ Brodno – plynová kotolňa</t>
  </si>
  <si>
    <t xml:space="preserve">- stavba je ukončená, skolaudovaná a odúčtovaná </t>
  </si>
  <si>
    <t>0513 Plyn Bystrická za kostolom</t>
  </si>
  <si>
    <t>- dofinancovanie inžinierskej činnosti z roku 2005.</t>
  </si>
  <si>
    <t xml:space="preserve">04.5.1. Cestná doprava  a  06.4.0 Modernizácia verejného osvetlenia: </t>
  </si>
  <si>
    <t>0315 Rekonštrukcia ul. Na Priekope</t>
  </si>
  <si>
    <t>- stavba je pred dokončením, predpokladaný termín ukončenia máj 2007</t>
  </si>
  <si>
    <t>0503 Námestie J. Pavla II.</t>
  </si>
  <si>
    <t>- stavba predstavuje vybudovanie nového námestia na sídlisku Vlčince. Stavba je pred dokončením, pripravujú sa doklady na odúčtovanie stavby.</t>
  </si>
  <si>
    <t>0604 Rekonštrukcia komunikácie Bánová</t>
  </si>
  <si>
    <t>0609 Rekonštrukcia komunikácie Strážov</t>
  </si>
  <si>
    <t>0618 Rekonštrukcia ul. Športová</t>
  </si>
  <si>
    <t>0613 Rekonštrukcia ul. Brezová</t>
  </si>
  <si>
    <t>0623 Rekonštrukcia komunikácie Pod starým majerom Zádubnie</t>
  </si>
  <si>
    <t>0607 Rekonštrukcia komunikácie Pod sadom Závodie</t>
  </si>
  <si>
    <t>0506 Chodník Žilinská univerzita Vlčince</t>
  </si>
  <si>
    <t>- rekonštrukcie poškodených a nefunkčných komunikácií a </t>
  </si>
  <si>
    <t>0615 Rozšírenie parkovísk na sídliskách</t>
  </si>
  <si>
    <t>Prostriedky boli použité na rozšírenie parkovísk na sídliskách Solinky, Hájik a Vlčince.</t>
  </si>
  <si>
    <t>0504 Rekonštrukcia vnútorných komunikácií Vlčince</t>
  </si>
  <si>
    <t>0505 Rekonštrukcia vnútorných komunikácií Solinky</t>
  </si>
  <si>
    <t>0608 Rekonštrukcia vnútorných komunikácií Hliny</t>
  </si>
  <si>
    <t>Stavby sú rozostavané, vypracovaná bola projektová dokumentácia.</t>
  </si>
  <si>
    <t>05.4.0 Ochrana prírody krajiny:</t>
  </si>
  <si>
    <t>0507 Revitalizácia Lesoparku Chrasť</t>
  </si>
  <si>
    <t xml:space="preserve">Stavba je pred dokončením, pripravujú sa podklady pre preberacie konanie, predpokladaný  termín ukončenia apríl 2007. </t>
  </si>
  <si>
    <t>06.1.0   Rozvoj bývania:</t>
  </si>
  <si>
    <t>10804-Parkovacie stánia G7 s TV – Hájik 2.st.</t>
  </si>
  <si>
    <t>10105 Bl.G1 s TV – Hájik 2. st.</t>
  </si>
  <si>
    <t>10205 Bl. G2 s TV – Hájik 2.st.</t>
  </si>
  <si>
    <r>
      <t>Stavba ukončená v roku 2005. Faktúry uhradené v roku 2006</t>
    </r>
    <r>
      <rPr>
        <sz val="14"/>
        <rFont val="Arial"/>
        <family val="2"/>
      </rPr>
      <t>.</t>
    </r>
  </si>
  <si>
    <t>10904 Bl. G3 s TV  - Hájik 2. stavba</t>
  </si>
  <si>
    <t>10404 Bl. G4 s TV  - Hájik 2. stavba</t>
  </si>
  <si>
    <t>Stavba ukončená v roku 2005. Faktúry uhradené v roku 2006.</t>
  </si>
  <si>
    <t>Bl. H5 s TV -  Hájik 2. stavba</t>
  </si>
  <si>
    <t>Bl. H11 s TV - Hájik 2. stavba</t>
  </si>
  <si>
    <t>Bl. H12 s TV - Hájik 2. stavba</t>
  </si>
  <si>
    <t xml:space="preserve">Spracovaná projektová dokumentácia, vydané stavebné povolenie, stavba zaradená do </t>
  </si>
  <si>
    <t>žiadosti na výstavbu nájomných bytov pre Mesto Žilina v roku 2007</t>
  </si>
  <si>
    <t>10305  bl. H6 – 20 b.j. s TV  - Hájik 2.stavba</t>
  </si>
  <si>
    <t>10106  bl. H7 – 21 b.j. s TV  - Hájik 2.stavba</t>
  </si>
  <si>
    <t>10206 bl. H8 – 20 b.j. s TV  -  Hájik 2.stavba</t>
  </si>
  <si>
    <t>Stavby boli dokončené, skolaudované a odovzdané do užívania. Podklady na odúčtovanie boli odovzdané na MSÚ.</t>
  </si>
  <si>
    <t>Bl. H9a  s TV - Hájik 2.stavba</t>
  </si>
  <si>
    <t>Bl. H9b s TV  - Hájik 2.stavba</t>
  </si>
  <si>
    <t>Projektová dokumentácia spracovaná, vydané stavebné povolenie, stavba plánovaná na</t>
  </si>
  <si>
    <t>výstavbu nájomných bytov pre Mesto Žilina v roku 2008.</t>
  </si>
  <si>
    <t>10529  32. tr. ZŠ Hájik</t>
  </si>
  <si>
    <t>Finančné prostriedky  boli použité na pokračovanie výstavby telocvične 32. triednej Základnej školy Hájik.</t>
  </si>
  <si>
    <t>10706 Novostavba 3-obytných domov s nižším štandardom</t>
  </si>
  <si>
    <t xml:space="preserve">Finančné prostriedky boli použité na realizáciu stavby pre sociálne odkázaných občanov. Stavba bola ukončená a  skolaudovaná. </t>
  </si>
  <si>
    <t xml:space="preserve">10506 Žilina Solinky bl. S1, S2 </t>
  </si>
  <si>
    <t>10606 Žilina Solinky bl. S3, S4</t>
  </si>
  <si>
    <t>Finančné prostriedky  boli použité na vypracovanú projektovú dokumentáciu pre územné rozhodnutie.</t>
  </si>
  <si>
    <t>10806 Bl. E7 s TV – Hájik 2.st.</t>
  </si>
  <si>
    <t>žiadosti na výstavbu nájomných bytov pre Mesto Žilina v roku 2007.</t>
  </si>
  <si>
    <t>10306 bl. E8 Hájik 2. st. s TV</t>
  </si>
  <si>
    <t>Stavba je v štádiu rozpracovanosti pripravuje sa na dokončenie.</t>
  </si>
  <si>
    <t>10406 Hájik 3. st. príprava územia</t>
  </si>
  <si>
    <t>Vypracovaná a odsúhlasená projektová štúdia, rozpracovaná projektová dokumentácia pre územné konanie.</t>
  </si>
  <si>
    <t xml:space="preserve">10 103 IBV Závodie </t>
  </si>
  <si>
    <t>Vodovod, kanalizácia a plynovod sú ukončené a skolaudované.  Stavba sa pripravuje na odúčtovanie.</t>
  </si>
  <si>
    <t>101203 IBV Malý Diel</t>
  </si>
  <si>
    <t>101103 IBV Bôrik III.</t>
  </si>
  <si>
    <t>Vybudovanie infraštruktúry  pre stavbu  IBV  Malý  Diel a IBV Bôrik, ktorá  pozostáva z rozvodov vodovodu, z rozvodov plynu, kanalizácie, elektriky, komunikácií a verejného osvetlenia.</t>
  </si>
  <si>
    <t>10906 Rozšírenie el. sietí Bytčica</t>
  </si>
  <si>
    <t>Stavba sa realizovala na základe požiadavky poslankyne prímestskej časti Bytčica.</t>
  </si>
  <si>
    <t xml:space="preserve">06.3.0 Zásobovanie vodou: </t>
  </si>
  <si>
    <r>
      <t xml:space="preserve">0606  Rozšírenie vodovodu Vranie: </t>
    </r>
    <r>
      <rPr>
        <sz val="12"/>
        <rFont val="Arial"/>
        <family val="2"/>
      </rPr>
      <t>Finančné prostriedky boli použité na úhradu projektu pre stavebné povolenie.</t>
    </r>
  </si>
  <si>
    <t>9502 Vodovod Zádubnie - Zástranie</t>
  </si>
  <si>
    <t>Finančné prostriedky boli použité na úhradu faktúr inžinierskej činnosti za rok 2005.</t>
  </si>
  <si>
    <t>08.1.0 Rekreačné a športové služby:</t>
  </si>
  <si>
    <r>
      <t xml:space="preserve">0311 Detské ihriská Solinky </t>
    </r>
    <r>
      <rPr>
        <sz val="12"/>
        <rFont val="Arial"/>
        <family val="2"/>
      </rPr>
      <t>- stavba je ukončená a odovzdaná.</t>
    </r>
  </si>
  <si>
    <r>
      <t xml:space="preserve">9812 Detské ihrisko Vlčince - </t>
    </r>
    <r>
      <rPr>
        <sz val="12"/>
        <rFont val="Arial"/>
        <family val="2"/>
      </rPr>
      <t>stavba ukončená a odovzdaná.</t>
    </r>
  </si>
  <si>
    <r>
      <t xml:space="preserve">0301 Detské ihrisko Hájik - </t>
    </r>
    <r>
      <rPr>
        <sz val="12"/>
        <rFont val="Arial"/>
        <family val="2"/>
      </rPr>
      <t>stavba je ukončená pripravuje sa odúčtovanie</t>
    </r>
    <r>
      <rPr>
        <b/>
        <sz val="12"/>
        <rFont val="Arial"/>
        <family val="2"/>
      </rPr>
      <t>.</t>
    </r>
  </si>
  <si>
    <r>
      <t xml:space="preserve">0512 Hokejbalové ihrisko Solinky - </t>
    </r>
    <r>
      <rPr>
        <sz val="12"/>
        <rFont val="Arial"/>
        <family val="2"/>
      </rPr>
      <t>stavba je ukončená  a daná na odúčtovanie na MsÚ</t>
    </r>
  </si>
  <si>
    <r>
      <t xml:space="preserve">0603 Viacúčelové ihrisko ZŠ Limbová – </t>
    </r>
    <r>
      <rPr>
        <sz val="12"/>
        <rFont val="Arial"/>
        <family val="2"/>
      </rPr>
      <t>stavba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je ukončená, pripravuje sa na odúčtovanie.</t>
    </r>
  </si>
  <si>
    <r>
      <t xml:space="preserve">0502 Telocvičňa T18, Žilina - </t>
    </r>
    <r>
      <rPr>
        <sz val="12"/>
        <rFont val="Arial"/>
        <family val="2"/>
      </rPr>
      <t>na stavbe sa zrealizovala kompletná oprava strechy telocvične. Stavba je ukončená a pripravuje sa na odúčtovanie.</t>
    </r>
  </si>
  <si>
    <r>
      <t xml:space="preserve">0317 Tréningová hala – vzduchotechnika - </t>
    </r>
    <r>
      <rPr>
        <sz val="12"/>
        <rFont val="Arial"/>
        <family val="2"/>
      </rPr>
      <t>na stavbe sa zrealizovalo odvlhčenie tréningovej haly pri zimnom štadióne. Potrebné je dorobiť parovodnú prípojku.</t>
    </r>
  </si>
  <si>
    <r>
      <t>08.2.07 Pamiatková starostlivosť</t>
    </r>
    <r>
      <rPr>
        <b/>
        <sz val="12"/>
        <rFont val="Arial"/>
        <family val="2"/>
      </rPr>
      <t>:</t>
    </r>
  </si>
  <si>
    <r>
      <t xml:space="preserve">0208 Kultúrny dom Zástranie –úpravy - </t>
    </r>
    <r>
      <rPr>
        <sz val="12"/>
        <rFont val="Arial"/>
        <family val="2"/>
      </rPr>
      <t>stavebné úpravy sú dokončené.</t>
    </r>
  </si>
  <si>
    <r>
      <t xml:space="preserve">0312 Rek.Burianovej veže - </t>
    </r>
    <r>
      <rPr>
        <sz val="12"/>
        <rFont val="Arial"/>
        <family val="2"/>
      </rPr>
      <t xml:space="preserve">zabezpečená  PD a stavebné povolenie. Daná žiadosť na </t>
    </r>
  </si>
  <si>
    <t xml:space="preserve">                                                financovanie z európskych  fondov</t>
  </si>
  <si>
    <r>
      <t xml:space="preserve">0414 Pamätník J.M.Hurbana - </t>
    </r>
    <r>
      <rPr>
        <sz val="12"/>
        <rFont val="Arial"/>
        <family val="2"/>
      </rPr>
      <t>stavba ukončená skolaudovaná.</t>
    </r>
  </si>
  <si>
    <r>
      <t xml:space="preserve">9523 Mestské divadlo – požiarna ochrana – </t>
    </r>
    <r>
      <rPr>
        <sz val="12"/>
        <rFont val="Arial"/>
        <family val="2"/>
      </rPr>
      <t>stavba rozostavaná, bola vypracovaná projektová dokumentácia.</t>
    </r>
  </si>
  <si>
    <r>
      <t xml:space="preserve">0511 Balustrády Farský kostol - oprava - </t>
    </r>
    <r>
      <rPr>
        <sz val="12"/>
        <rFont val="Arial"/>
        <family val="2"/>
      </rPr>
      <t>pre havarijný stav sa realizovala sanácia oporných múrov.</t>
    </r>
  </si>
  <si>
    <r>
      <t xml:space="preserve">0508 Asanácia Klub Slovena - </t>
    </r>
    <r>
      <rPr>
        <sz val="12"/>
        <rFont val="Arial"/>
        <family val="2"/>
      </rPr>
      <t>stavba ukončená a odúčtovaná na MsÚ</t>
    </r>
  </si>
  <si>
    <r>
      <t xml:space="preserve">0602 Rekonštrukcia fontány na Mariánskom námestí - </t>
    </r>
    <r>
      <rPr>
        <sz val="12"/>
        <rFont val="Arial"/>
        <family val="2"/>
      </rPr>
      <t>stavba je rozostavaná, predpokladaný termín dokončenia je apríl 2007.</t>
    </r>
  </si>
  <si>
    <r>
      <t xml:space="preserve">0614 Reliéf biskupa Rupeldta - </t>
    </r>
    <r>
      <rPr>
        <sz val="12"/>
        <rFont val="Arial"/>
        <family val="2"/>
      </rPr>
      <t>stavba je ukončená, pripravuje sa na odúčtovanie.</t>
    </r>
  </si>
  <si>
    <r>
      <t>08.4.0 Náboženské a iné spoločenské služby</t>
    </r>
    <r>
      <rPr>
        <b/>
        <sz val="12"/>
        <rFont val="Arial"/>
        <family val="2"/>
      </rPr>
      <t>:</t>
    </r>
  </si>
  <si>
    <r>
      <t xml:space="preserve">0419 Rekonštrukcia kostola Bytčica - </t>
    </r>
    <r>
      <rPr>
        <sz val="12"/>
        <rFont val="Arial"/>
        <family val="2"/>
      </rPr>
      <t>stavba je ukončená, pripravuje sa na odúčtovanie.</t>
    </r>
  </si>
  <si>
    <r>
      <t xml:space="preserve">0612 Oprava strechy DS Zádubnie - </t>
    </r>
    <r>
      <rPr>
        <sz val="12"/>
        <rFont val="Arial"/>
        <family val="2"/>
      </rPr>
      <t>stavba je ukončená, pripravuje sa na odúčtovanie.</t>
    </r>
  </si>
  <si>
    <r>
      <t xml:space="preserve">0617 Rekonštrukcia kaplnky Závodie - </t>
    </r>
    <r>
      <rPr>
        <sz val="12"/>
        <rFont val="Arial"/>
        <family val="2"/>
      </rPr>
      <t>stavba ukončená a daná na odúčtovanie na MsÚ</t>
    </r>
  </si>
  <si>
    <r>
      <t xml:space="preserve">0610 Dom smútku Mojšová Lúčka - </t>
    </r>
    <r>
      <rPr>
        <sz val="12"/>
        <rFont val="Arial"/>
        <family val="2"/>
      </rPr>
      <t>stavba je rozostavaná. Predpokladaný termín ukončenia stavby apríl 2007.</t>
    </r>
  </si>
  <si>
    <t>10.2.01 Zariadenia sociálnych služieb - staroba</t>
  </si>
  <si>
    <t>10.2.01 Stacionár pre dôchodcov Vlčince</t>
  </si>
  <si>
    <t>- stavba je financovaná z prostriedkov ŠR, EÚ a vlastných zdrojov mesta,  predpokladaný termín ukončenia apríl 2007.</t>
  </si>
  <si>
    <t xml:space="preserve">                na investície</t>
  </si>
  <si>
    <t>tab.10</t>
  </si>
  <si>
    <t>tab.11</t>
  </si>
  <si>
    <t>tab.12</t>
  </si>
  <si>
    <t>tab.13</t>
  </si>
  <si>
    <t>tab.č.14</t>
  </si>
  <si>
    <t xml:space="preserve">Mestský úrad Žilina                       </t>
  </si>
  <si>
    <t>Pohľadávky k 31.12.2006</t>
  </si>
  <si>
    <t>Príspevky poskytnuté k 31.12.2006</t>
  </si>
  <si>
    <t>Organizácia</t>
  </si>
  <si>
    <t>Učel</t>
  </si>
  <si>
    <t>Suma</t>
  </si>
  <si>
    <t>mandátna zmluva</t>
  </si>
  <si>
    <t>Dom Matice Slovenskej Snina</t>
  </si>
  <si>
    <t>matičná galéria</t>
  </si>
  <si>
    <t>Dom Matice Slovenskej Žilina</t>
  </si>
  <si>
    <t>na činnosť</t>
  </si>
  <si>
    <t>Cirkevný zbor Evanj</t>
  </si>
  <si>
    <t>fara</t>
  </si>
  <si>
    <t>Miešaný zbor Máj</t>
  </si>
  <si>
    <t>dirigentský príspevok</t>
  </si>
  <si>
    <t>Športový klub POTOČNIK</t>
  </si>
  <si>
    <t>Žilinský vysokohorský klub</t>
  </si>
  <si>
    <t>na festival</t>
  </si>
  <si>
    <t>Volejbalový klub mládeže</t>
  </si>
  <si>
    <t>ŽU</t>
  </si>
  <si>
    <t>na počítače</t>
  </si>
  <si>
    <t>Gréckokatolícka cirkev</t>
  </si>
  <si>
    <t>na opravu chrámu</t>
  </si>
  <si>
    <t>Rapeš</t>
  </si>
  <si>
    <t>majáles 2006</t>
  </si>
  <si>
    <t>Regionálne OZ Zvieraci domov</t>
  </si>
  <si>
    <t>Žilinský športový klub</t>
  </si>
  <si>
    <t>predlženie lehoty dohody z roku 2005</t>
  </si>
  <si>
    <t>Slovenský skauting</t>
  </si>
  <si>
    <t>úhrada nájomného</t>
  </si>
  <si>
    <t>Krajský úrad</t>
  </si>
  <si>
    <t>Gymnázium biligválne</t>
  </si>
  <si>
    <t>Žilinský univerzita</t>
  </si>
  <si>
    <t>ochrana pred požiarmi</t>
  </si>
  <si>
    <t>Mestský dobrovoľ.hasič.zborML</t>
  </si>
  <si>
    <t>organizovanie osláv</t>
  </si>
  <si>
    <t>Mestský dobrovoľ.hasič.zbor Tr</t>
  </si>
  <si>
    <t>ŠKO</t>
  </si>
  <si>
    <t>Občianske združenie Domec</t>
  </si>
  <si>
    <t>4. Ročník festivalu</t>
  </si>
  <si>
    <t>Združenie káblovej televízie</t>
  </si>
  <si>
    <t>Domka</t>
  </si>
  <si>
    <t>Preteky v cyklokrose</t>
  </si>
  <si>
    <t>Únia žien Slovenska</t>
  </si>
  <si>
    <t>Ku dňu matiek</t>
  </si>
  <si>
    <t>Dom matice slovenskej</t>
  </si>
  <si>
    <t>Fašiangy a masopust</t>
  </si>
  <si>
    <t>Únia nevidiacich</t>
  </si>
  <si>
    <t>Kurz spoločenského tanca Smiem prosiť</t>
  </si>
  <si>
    <t>ZO Sloves</t>
  </si>
  <si>
    <t>Na činnosť</t>
  </si>
  <si>
    <t>TJ Straník Zástranie</t>
  </si>
  <si>
    <t>Dostavba sociálnych zariadení</t>
  </si>
  <si>
    <t>MKS Terchová</t>
  </si>
  <si>
    <t>Cyrilometodské dni ročník XVII</t>
  </si>
  <si>
    <t>kultúrne leto</t>
  </si>
  <si>
    <t>MŠ Bánová</t>
  </si>
  <si>
    <r>
      <t xml:space="preserve">na činnosť </t>
    </r>
    <r>
      <rPr>
        <b/>
        <sz val="11"/>
        <rFont val="Arial CE"/>
        <family val="2"/>
      </rPr>
      <t>PF7</t>
    </r>
  </si>
  <si>
    <t>Radoslav Židek</t>
  </si>
  <si>
    <t>uhrada za byt</t>
  </si>
  <si>
    <t>Áno pre život</t>
  </si>
  <si>
    <t>koncert Bartošová</t>
  </si>
  <si>
    <t>Centrum voľného času Spektrum</t>
  </si>
  <si>
    <t>súťaž moje mesto Žilina</t>
  </si>
  <si>
    <t>Alternatív</t>
  </si>
  <si>
    <t>na podlahovu krytinu a reflektory</t>
  </si>
  <si>
    <t>MDHZ Brodno</t>
  </si>
  <si>
    <t>oslava 85. Výročia založenia</t>
  </si>
  <si>
    <t>Slovenský zväz sluchovo postih.</t>
  </si>
  <si>
    <t>Oslavy medzinárodného dňa nepočujucich</t>
  </si>
  <si>
    <t>Žilinská univerzita</t>
  </si>
  <si>
    <t>Beh do Strečnianskych hradnych schodov</t>
  </si>
  <si>
    <t>Holeša Vladimír</t>
  </si>
  <si>
    <t>na začatie pracovnej činnosti</t>
  </si>
  <si>
    <t>podium</t>
  </si>
  <si>
    <t>Voroš Gejza</t>
  </si>
  <si>
    <t>stojany na noty</t>
  </si>
  <si>
    <t>Klub vojenských výsadkarov</t>
  </si>
  <si>
    <t>na zájazd</t>
  </si>
  <si>
    <t>MDHZ Vranie</t>
  </si>
  <si>
    <t>na oslavy</t>
  </si>
  <si>
    <t>Klub priateloľv Francuzska</t>
  </si>
  <si>
    <t>Pinčák Štefan</t>
  </si>
  <si>
    <t>letné podujatia pre deti</t>
  </si>
  <si>
    <t>DHZ Brodno</t>
  </si>
  <si>
    <t>na pracovný odev pre hasičov</t>
  </si>
  <si>
    <t>Hockey Talent Agency</t>
  </si>
  <si>
    <t>nap odporu športu</t>
  </si>
  <si>
    <t xml:space="preserve">Matica slovenská Bytčica </t>
  </si>
  <si>
    <t>PF 6 na činnosť</t>
  </si>
  <si>
    <t>Červený kríž Bytčica</t>
  </si>
  <si>
    <t>TJ Mojšová Lúčka</t>
  </si>
  <si>
    <r>
      <t xml:space="preserve">činnosť </t>
    </r>
    <r>
      <rPr>
        <b/>
        <sz val="11"/>
        <rFont val="Arial CE"/>
        <family val="2"/>
      </rPr>
      <t>PF6</t>
    </r>
  </si>
  <si>
    <t>Klub slovenských turistov</t>
  </si>
  <si>
    <t>Farský úrad Zástranie</t>
  </si>
  <si>
    <t>pohotovostný fond Budatín</t>
  </si>
  <si>
    <t>Agentúra AURA</t>
  </si>
  <si>
    <t>Benefičná akcia Beno show</t>
  </si>
  <si>
    <t>Šišková Katarína</t>
  </si>
  <si>
    <t>MS v zjazde na horských bicykloch</t>
  </si>
  <si>
    <t>TJ Lokomotíva Žilina</t>
  </si>
  <si>
    <t xml:space="preserve">Slovenský zväz chovateľov ZO </t>
  </si>
  <si>
    <t>Muškárský klub POTOČNÍK</t>
  </si>
  <si>
    <t>ZŠ Gaštanová</t>
  </si>
  <si>
    <t>na činnosť PF 3</t>
  </si>
  <si>
    <t>Centrum voľného času Strom</t>
  </si>
  <si>
    <t>MŠ Limbová</t>
  </si>
  <si>
    <t>Cirkevná MŠ Gaštanova</t>
  </si>
  <si>
    <t>ZŠ Limbová</t>
  </si>
  <si>
    <t>MŠ Mojšova Lúčka</t>
  </si>
  <si>
    <t>na činnosť PF 6</t>
  </si>
  <si>
    <t>Zvaz protikomunistického odboja</t>
  </si>
  <si>
    <t>štedrá večera</t>
  </si>
  <si>
    <t>Urologické oddelenie</t>
  </si>
  <si>
    <t>pokrytie finančných nákladov</t>
  </si>
  <si>
    <t>MŠ - Zástranie</t>
  </si>
  <si>
    <t>na opravu vstupu</t>
  </si>
  <si>
    <t>Artech - Slovakia s.r.o.</t>
  </si>
  <si>
    <t>Pamätník obetiam extrémizmu</t>
  </si>
  <si>
    <t xml:space="preserve">OZ pre podporu slov. koncertov </t>
  </si>
  <si>
    <t>koncert na Hlinkovom námestí</t>
  </si>
  <si>
    <t>TJ Tatran</t>
  </si>
  <si>
    <t>Mestské divadlo Žilina</t>
  </si>
  <si>
    <t>Mikuláš 2006</t>
  </si>
  <si>
    <t>MŠ Nám. J. Borodáča 6</t>
  </si>
  <si>
    <t>na zostavu Mega tvary</t>
  </si>
  <si>
    <t>MŠ sv. Gorazda</t>
  </si>
  <si>
    <t>MŠ Tnavská</t>
  </si>
  <si>
    <t>Bábkové divadlo</t>
  </si>
  <si>
    <t>inscenácia rozprávok Žilinské povesti</t>
  </si>
  <si>
    <t>Žilinská regionálna komora</t>
  </si>
  <si>
    <t>Diecézna charita Nitra</t>
  </si>
  <si>
    <t>René Svrček</t>
  </si>
  <si>
    <t>na kúpu auta pre prevoz dcéry Renée</t>
  </si>
  <si>
    <t>Jednota dôchodcov</t>
  </si>
  <si>
    <t>kultúrno- poznávací zájazd</t>
  </si>
  <si>
    <t>MŠ Budatín</t>
  </si>
  <si>
    <t>Občania v akcii</t>
  </si>
  <si>
    <t>stolnotenisový turnaj</t>
  </si>
  <si>
    <t>Marián Horvát</t>
  </si>
  <si>
    <t>príspevok- kresťanské spoločenstvo</t>
  </si>
  <si>
    <t>Žilinská knižnica -Solinky</t>
  </si>
  <si>
    <t>Atletický oddiel Slávia</t>
  </si>
  <si>
    <t>vystavba útulku a kúpa pozemku</t>
  </si>
  <si>
    <t xml:space="preserve">literárno-hudob. podujatia </t>
  </si>
  <si>
    <t>výzdoba a občerstvenie</t>
  </si>
  <si>
    <t>cena primátora</t>
  </si>
  <si>
    <t>výstava zvierat a exot. vtákov</t>
  </si>
  <si>
    <t>maratón s mladými poštovými holubami</t>
  </si>
  <si>
    <t>na propágaciu Slovenska vo Francúzsku</t>
  </si>
  <si>
    <t>Folklórny súbor Rozsutec</t>
  </si>
  <si>
    <t xml:space="preserve">digitálny prijímač </t>
  </si>
  <si>
    <t>Selinan - cestovná kancelária</t>
  </si>
  <si>
    <t>Červený kríž</t>
  </si>
  <si>
    <t>Ostatné príjmy ( vrátane príjmov školských zar.)</t>
  </si>
  <si>
    <t>Príjem do fondu v roku 2006</t>
  </si>
  <si>
    <t>Zostatky príjmov z minulých období</t>
  </si>
  <si>
    <t>Príloha č. 1</t>
  </si>
  <si>
    <t>Príloha č.3</t>
  </si>
  <si>
    <t>Príloha č. 4</t>
  </si>
  <si>
    <t>Príloha č.5</t>
  </si>
  <si>
    <t>Príloha č. 6</t>
  </si>
  <si>
    <t>Rímsko-kat.Farská Charita</t>
  </si>
  <si>
    <t xml:space="preserve">Financovanie základného školstva </t>
  </si>
  <si>
    <t>Názov školy, škol. zar.</t>
  </si>
  <si>
    <t>PK mzdy</t>
  </si>
  <si>
    <t>z toho odchodné</t>
  </si>
  <si>
    <t>PK prevádzka</t>
  </si>
  <si>
    <t>z toho účel.dotácia</t>
  </si>
  <si>
    <t>PK spolu</t>
  </si>
  <si>
    <t>Dotácie zo ŠR</t>
  </si>
  <si>
    <t>Vzdelávacie poukazy</t>
  </si>
  <si>
    <t>Asistent učiteľa</t>
  </si>
  <si>
    <t>Iné</t>
  </si>
  <si>
    <t>OK mzdy</t>
  </si>
  <si>
    <t>OK prevádzka</t>
  </si>
  <si>
    <t>OK spolu</t>
  </si>
  <si>
    <t>Kapitálové výdavky</t>
  </si>
  <si>
    <t>ZŠ s MŠ Brodno</t>
  </si>
  <si>
    <t>ZŠ s MŠ Zádubnie</t>
  </si>
  <si>
    <t>ZŠ Bánová</t>
  </si>
  <si>
    <t>ZŠ s MŠ Trnové</t>
  </si>
  <si>
    <t>ZŠ Hollého</t>
  </si>
  <si>
    <t>ZŠ Jarná, Hliny 7</t>
  </si>
  <si>
    <t>ZŠ Karpatská</t>
  </si>
  <si>
    <t>ZŠ Lichardova, Hliny 8</t>
  </si>
  <si>
    <t>ZŠ Martinská</t>
  </si>
  <si>
    <t>ZŠ Mojšová Lúčka</t>
  </si>
  <si>
    <t>ZŠ Na stanicu 27, Bytčica</t>
  </si>
  <si>
    <t>ZŠ Nám. Mladosti, Hájik</t>
  </si>
  <si>
    <t>ZŠ Slov. dobrovoľ.,Budatín</t>
  </si>
  <si>
    <t>ZŠ s MŠ Sv. Gorazda</t>
  </si>
  <si>
    <t>ZŠ V. Javorku, Hliny 5</t>
  </si>
  <si>
    <t>ZŠ s MŠ Školská, Závodie</t>
  </si>
  <si>
    <t>ZŠ Oravská 11, Žilina</t>
  </si>
  <si>
    <t>PRENESENÉ  KOMPETENCIE</t>
  </si>
  <si>
    <t>ORIGINÁLNE  KOMPETENCIE</t>
  </si>
  <si>
    <t>tab.č.15</t>
  </si>
  <si>
    <t>MATERSKÉ ŠKOLY</t>
  </si>
  <si>
    <t>Školské zariadenie</t>
  </si>
  <si>
    <t>MZDY</t>
  </si>
  <si>
    <t>PREVÁDZKA</t>
  </si>
  <si>
    <t>MŠ Zástranie</t>
  </si>
  <si>
    <t>MŠ A. Kmeťa</t>
  </si>
  <si>
    <t>MŠ Hliny 6</t>
  </si>
  <si>
    <t>MŠ Gemerská</t>
  </si>
  <si>
    <t>MŠ Strážov</t>
  </si>
  <si>
    <t>MŠ Hliny 7, Jarná</t>
  </si>
  <si>
    <t>MŠ Hliny 8, Lichardova</t>
  </si>
  <si>
    <t>MŠ Limbova 26</t>
  </si>
  <si>
    <t>MŠ Nám. J. Borodáča 7</t>
  </si>
  <si>
    <t>MŠ Bytčica</t>
  </si>
  <si>
    <t>MŠ Hájik</t>
  </si>
  <si>
    <t>MŠ Predmestská 27</t>
  </si>
  <si>
    <t>MŠ Hliny 3, Puškinova</t>
  </si>
  <si>
    <t>MŠ Stavbárska, Bôrik</t>
  </si>
  <si>
    <t>MŠ Trnavská</t>
  </si>
  <si>
    <t>MŠ Hliny 5, V. Javorku</t>
  </si>
  <si>
    <t>MŠ Hliny 4, Čajakova</t>
  </si>
  <si>
    <t>MŠ P. Chlmec</t>
  </si>
  <si>
    <t>MŠ M. Lúčka</t>
  </si>
  <si>
    <t>tab.č.16</t>
  </si>
  <si>
    <t xml:space="preserve">Návrh na finančné vysporiadanie príspevkových organizácií  </t>
  </si>
  <si>
    <t>mesta za rok 2006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</si>
</sst>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\ &quot;Sk&quot;_-;\-* #,##0.0\ &quot;Sk&quot;_-;_-* &quot;-&quot;??\ &quot;Sk&quot;_-;_-@_-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u val="single"/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sz val="14"/>
      <name val="Arial CE"/>
      <family val="2"/>
    </font>
    <font>
      <b/>
      <sz val="11"/>
      <name val="Arial"/>
      <family val="0"/>
    </font>
    <font>
      <sz val="12"/>
      <name val="Arial"/>
      <family val="0"/>
    </font>
    <font>
      <b/>
      <i/>
      <sz val="14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i/>
      <u val="single"/>
      <sz val="12"/>
      <name val="Arial CE"/>
      <family val="0"/>
    </font>
    <font>
      <b/>
      <sz val="16"/>
      <name val="Arial"/>
      <family val="0"/>
    </font>
    <font>
      <sz val="14"/>
      <name val="Arial"/>
      <family val="0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i/>
      <sz val="10"/>
      <name val="Arial CE"/>
      <family val="0"/>
    </font>
    <font>
      <b/>
      <i/>
      <sz val="12"/>
      <color indexed="10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7"/>
      <name val="Arial"/>
      <family val="0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i/>
      <sz val="16"/>
      <name val="Arial CE"/>
      <family val="2"/>
    </font>
    <font>
      <b/>
      <i/>
      <sz val="10"/>
      <color indexed="10"/>
      <name val="Arial CE"/>
      <family val="2"/>
    </font>
    <font>
      <b/>
      <i/>
      <sz val="13"/>
      <name val="Arial CE"/>
      <family val="2"/>
    </font>
    <font>
      <i/>
      <sz val="10"/>
      <color indexed="10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2"/>
      <color indexed="10"/>
      <name val="Arial CE"/>
      <family val="2"/>
    </font>
    <font>
      <b/>
      <i/>
      <u val="single"/>
      <sz val="10"/>
      <name val="Arial CE"/>
      <family val="0"/>
    </font>
    <font>
      <i/>
      <sz val="11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color indexed="22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u val="single"/>
      <sz val="14"/>
      <name val="Arial CE"/>
      <family val="2"/>
    </font>
    <font>
      <b/>
      <sz val="20"/>
      <name val="Arial CE"/>
      <family val="0"/>
    </font>
    <font>
      <b/>
      <sz val="8"/>
      <name val="Arial CE"/>
      <family val="2"/>
    </font>
    <font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i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932">
    <xf numFmtId="0" fontId="0" fillId="0" borderId="0" xfId="0" applyAlignment="1">
      <alignment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0" xfId="20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0" xfId="20" applyFont="1" applyAlignment="1">
      <alignment horizontal="right"/>
      <protection/>
    </xf>
    <xf numFmtId="0" fontId="3" fillId="0" borderId="0" xfId="20" applyFont="1" applyBorder="1" applyAlignment="1">
      <alignment horizontal="center"/>
      <protection/>
    </xf>
    <xf numFmtId="0" fontId="4" fillId="0" borderId="1" xfId="20" applyFont="1" applyBorder="1" applyAlignment="1">
      <alignment horizontal="left"/>
      <protection/>
    </xf>
    <xf numFmtId="0" fontId="5" fillId="0" borderId="2" xfId="20" applyFont="1" applyBorder="1" applyAlignment="1">
      <alignment horizontal="left"/>
      <protection/>
    </xf>
    <xf numFmtId="0" fontId="5" fillId="0" borderId="3" xfId="20" applyFont="1" applyBorder="1" applyAlignment="1">
      <alignment horizontal="left"/>
      <protection/>
    </xf>
    <xf numFmtId="0" fontId="5" fillId="0" borderId="1" xfId="20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5" fillId="0" borderId="4" xfId="20" applyFont="1" applyBorder="1" applyAlignment="1">
      <alignment horizontal="left"/>
      <protection/>
    </xf>
    <xf numFmtId="3" fontId="0" fillId="0" borderId="0" xfId="20" applyNumberFormat="1">
      <alignment/>
      <protection/>
    </xf>
    <xf numFmtId="49" fontId="0" fillId="0" borderId="0" xfId="21" applyNumberFormat="1" applyFont="1" applyAlignment="1">
      <alignment horizontal="left"/>
      <protection/>
    </xf>
    <xf numFmtId="0" fontId="9" fillId="0" borderId="0" xfId="0" applyFont="1" applyAlignment="1">
      <alignment/>
    </xf>
    <xf numFmtId="0" fontId="0" fillId="0" borderId="5" xfId="21" applyFont="1" applyBorder="1" applyAlignment="1">
      <alignment horizontal="left"/>
      <protection/>
    </xf>
    <xf numFmtId="49" fontId="0" fillId="0" borderId="6" xfId="21" applyNumberFormat="1" applyFont="1" applyBorder="1" applyAlignment="1">
      <alignment horizontal="left"/>
      <protection/>
    </xf>
    <xf numFmtId="49" fontId="0" fillId="0" borderId="7" xfId="21" applyNumberFormat="1" applyFont="1" applyBorder="1" applyAlignment="1">
      <alignment horizontal="left"/>
      <protection/>
    </xf>
    <xf numFmtId="0" fontId="0" fillId="2" borderId="0" xfId="21" applyFont="1" applyFill="1" applyBorder="1" applyAlignment="1">
      <alignment horizontal="center"/>
      <protection/>
    </xf>
    <xf numFmtId="0" fontId="3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1" fillId="0" borderId="9" xfId="0" applyFont="1" applyFill="1" applyBorder="1" applyAlignment="1">
      <alignment/>
    </xf>
    <xf numFmtId="49" fontId="0" fillId="0" borderId="10" xfId="21" applyNumberFormat="1" applyFont="1" applyBorder="1" applyAlignment="1">
      <alignment horizontal="left"/>
      <protection/>
    </xf>
    <xf numFmtId="49" fontId="0" fillId="0" borderId="11" xfId="21" applyNumberFormat="1" applyFont="1" applyBorder="1" applyAlignment="1">
      <alignment horizontal="left"/>
      <protection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8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49" fontId="3" fillId="0" borderId="10" xfId="21" applyNumberFormat="1" applyFont="1" applyBorder="1" applyAlignment="1">
      <alignment horizontal="left"/>
      <protection/>
    </xf>
    <xf numFmtId="49" fontId="3" fillId="0" borderId="11" xfId="21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49" fontId="0" fillId="0" borderId="0" xfId="21" applyNumberFormat="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4" fillId="0" borderId="0" xfId="0" applyFont="1" applyAlignment="1">
      <alignment/>
    </xf>
    <xf numFmtId="0" fontId="5" fillId="0" borderId="0" xfId="23" applyFont="1">
      <alignment/>
      <protection/>
    </xf>
    <xf numFmtId="0" fontId="5" fillId="0" borderId="0" xfId="23" applyFont="1" applyBorder="1" applyAlignment="1">
      <alignment horizontal="left"/>
      <protection/>
    </xf>
    <xf numFmtId="3" fontId="5" fillId="0" borderId="0" xfId="15" applyNumberFormat="1" applyFont="1" applyBorder="1" applyAlignment="1">
      <alignment horizontal="right"/>
    </xf>
    <xf numFmtId="0" fontId="5" fillId="0" borderId="0" xfId="23" applyFont="1" applyBorder="1">
      <alignment/>
      <protection/>
    </xf>
    <xf numFmtId="3" fontId="5" fillId="0" borderId="0" xfId="15" applyNumberFormat="1" applyFont="1" applyBorder="1" applyAlignment="1">
      <alignment horizontal="right"/>
    </xf>
    <xf numFmtId="0" fontId="5" fillId="0" borderId="0" xfId="23" applyFont="1" applyBorder="1">
      <alignment/>
      <protection/>
    </xf>
    <xf numFmtId="0" fontId="16" fillId="0" borderId="0" xfId="0" applyFont="1" applyAlignment="1">
      <alignment/>
    </xf>
    <xf numFmtId="0" fontId="4" fillId="0" borderId="0" xfId="23" applyFont="1" applyBorder="1">
      <alignment/>
      <protection/>
    </xf>
    <xf numFmtId="0" fontId="4" fillId="0" borderId="0" xfId="23" applyFont="1">
      <alignment/>
      <protection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7" xfId="25" applyFont="1" applyBorder="1">
      <alignment/>
      <protection/>
    </xf>
    <xf numFmtId="3" fontId="2" fillId="0" borderId="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3" fontId="10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0" fillId="0" borderId="0" xfId="22" applyFont="1">
      <alignment/>
      <protection/>
    </xf>
    <xf numFmtId="0" fontId="10" fillId="0" borderId="0" xfId="22" applyFont="1" applyFill="1">
      <alignment/>
      <protection/>
    </xf>
    <xf numFmtId="0" fontId="17" fillId="0" borderId="0" xfId="0" applyFont="1" applyAlignment="1">
      <alignment/>
    </xf>
    <xf numFmtId="3" fontId="10" fillId="0" borderId="0" xfId="22" applyNumberFormat="1" applyFont="1" applyFill="1">
      <alignment/>
      <protection/>
    </xf>
    <xf numFmtId="3" fontId="2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 applyAlignment="1">
      <alignment horizontal="right"/>
      <protection/>
    </xf>
    <xf numFmtId="3" fontId="10" fillId="0" borderId="5" xfId="22" applyNumberFormat="1" applyFont="1" applyFill="1" applyBorder="1">
      <alignment/>
      <protection/>
    </xf>
    <xf numFmtId="3" fontId="2" fillId="2" borderId="12" xfId="22" applyNumberFormat="1" applyFont="1" applyFill="1" applyBorder="1">
      <alignment/>
      <protection/>
    </xf>
    <xf numFmtId="3" fontId="2" fillId="2" borderId="21" xfId="22" applyNumberFormat="1" applyFont="1" applyFill="1" applyBorder="1">
      <alignment/>
      <protection/>
    </xf>
    <xf numFmtId="3" fontId="2" fillId="2" borderId="6" xfId="22" applyNumberFormat="1" applyFont="1" applyFill="1" applyBorder="1">
      <alignment/>
      <protection/>
    </xf>
    <xf numFmtId="3" fontId="2" fillId="2" borderId="22" xfId="22" applyNumberFormat="1" applyFont="1" applyFill="1" applyBorder="1">
      <alignment/>
      <protection/>
    </xf>
    <xf numFmtId="3" fontId="2" fillId="2" borderId="23" xfId="22" applyNumberFormat="1" applyFont="1" applyFill="1" applyBorder="1">
      <alignment/>
      <protection/>
    </xf>
    <xf numFmtId="3" fontId="2" fillId="2" borderId="24" xfId="22" applyNumberFormat="1" applyFont="1" applyFill="1" applyBorder="1">
      <alignment/>
      <protection/>
    </xf>
    <xf numFmtId="0" fontId="17" fillId="2" borderId="0" xfId="0" applyFont="1" applyFill="1" applyAlignment="1">
      <alignment/>
    </xf>
    <xf numFmtId="3" fontId="2" fillId="0" borderId="6" xfId="22" applyNumberFormat="1" applyFont="1" applyFill="1" applyBorder="1">
      <alignment/>
      <protection/>
    </xf>
    <xf numFmtId="3" fontId="10" fillId="0" borderId="20" xfId="22" applyNumberFormat="1" applyFont="1" applyFill="1" applyBorder="1">
      <alignment/>
      <protection/>
    </xf>
    <xf numFmtId="3" fontId="10" fillId="0" borderId="20" xfId="22" applyNumberFormat="1" applyFont="1" applyFill="1" applyBorder="1" applyAlignment="1">
      <alignment horizontal="right"/>
      <protection/>
    </xf>
    <xf numFmtId="3" fontId="2" fillId="0" borderId="7" xfId="22" applyNumberFormat="1" applyFont="1" applyFill="1" applyBorder="1">
      <alignment/>
      <protection/>
    </xf>
    <xf numFmtId="3" fontId="10" fillId="0" borderId="25" xfId="22" applyNumberFormat="1" applyFont="1" applyFill="1" applyBorder="1">
      <alignment/>
      <protection/>
    </xf>
    <xf numFmtId="3" fontId="10" fillId="0" borderId="25" xfId="22" applyNumberFormat="1" applyFont="1" applyFill="1" applyBorder="1" applyAlignment="1">
      <alignment horizontal="right"/>
      <protection/>
    </xf>
    <xf numFmtId="3" fontId="10" fillId="0" borderId="26" xfId="22" applyNumberFormat="1" applyFont="1" applyFill="1" applyBorder="1">
      <alignment/>
      <protection/>
    </xf>
    <xf numFmtId="3" fontId="10" fillId="0" borderId="26" xfId="22" applyNumberFormat="1" applyFont="1" applyFill="1" applyBorder="1" applyAlignment="1">
      <alignment horizontal="right"/>
      <protection/>
    </xf>
    <xf numFmtId="3" fontId="10" fillId="0" borderId="27" xfId="22" applyNumberFormat="1" applyFont="1" applyFill="1" applyBorder="1">
      <alignment/>
      <protection/>
    </xf>
    <xf numFmtId="3" fontId="2" fillId="0" borderId="12" xfId="22" applyNumberFormat="1" applyFont="1" applyFill="1" applyBorder="1">
      <alignment/>
      <protection/>
    </xf>
    <xf numFmtId="3" fontId="10" fillId="0" borderId="28" xfId="22" applyNumberFormat="1" applyFont="1" applyFill="1" applyBorder="1">
      <alignment/>
      <protection/>
    </xf>
    <xf numFmtId="3" fontId="10" fillId="0" borderId="29" xfId="22" applyNumberFormat="1" applyFont="1" applyFill="1" applyBorder="1">
      <alignment/>
      <protection/>
    </xf>
    <xf numFmtId="3" fontId="2" fillId="0" borderId="7" xfId="15" applyNumberFormat="1" applyFont="1" applyFill="1" applyBorder="1" applyAlignment="1">
      <alignment horizontal="left"/>
    </xf>
    <xf numFmtId="3" fontId="10" fillId="0" borderId="21" xfId="22" applyNumberFormat="1" applyFont="1" applyFill="1" applyBorder="1">
      <alignment/>
      <protection/>
    </xf>
    <xf numFmtId="3" fontId="10" fillId="0" borderId="30" xfId="22" applyNumberFormat="1" applyFont="1" applyFill="1" applyBorder="1">
      <alignment/>
      <protection/>
    </xf>
    <xf numFmtId="3" fontId="10" fillId="0" borderId="20" xfId="22" applyNumberFormat="1" applyFont="1" applyBorder="1">
      <alignment/>
      <protection/>
    </xf>
    <xf numFmtId="3" fontId="10" fillId="0" borderId="20" xfId="22" applyNumberFormat="1" applyFont="1" applyFill="1" applyBorder="1">
      <alignment/>
      <protection/>
    </xf>
    <xf numFmtId="3" fontId="10" fillId="0" borderId="26" xfId="22" applyNumberFormat="1" applyFont="1" applyBorder="1">
      <alignment/>
      <protection/>
    </xf>
    <xf numFmtId="3" fontId="10" fillId="0" borderId="26" xfId="22" applyNumberFormat="1" applyFont="1" applyFill="1" applyBorder="1">
      <alignment/>
      <protection/>
    </xf>
    <xf numFmtId="3" fontId="10" fillId="0" borderId="27" xfId="22" applyNumberFormat="1" applyFont="1" applyBorder="1">
      <alignment/>
      <protection/>
    </xf>
    <xf numFmtId="0" fontId="17" fillId="0" borderId="5" xfId="0" applyFont="1" applyBorder="1" applyAlignment="1">
      <alignment/>
    </xf>
    <xf numFmtId="3" fontId="2" fillId="0" borderId="23" xfId="22" applyNumberFormat="1" applyFont="1" applyFill="1" applyBorder="1">
      <alignment/>
      <protection/>
    </xf>
    <xf numFmtId="3" fontId="10" fillId="0" borderId="28" xfId="22" applyNumberFormat="1" applyFont="1" applyBorder="1">
      <alignment/>
      <protection/>
    </xf>
    <xf numFmtId="3" fontId="10" fillId="0" borderId="22" xfId="22" applyNumberFormat="1" applyFont="1" applyFill="1" applyBorder="1">
      <alignment/>
      <protection/>
    </xf>
    <xf numFmtId="49" fontId="2" fillId="0" borderId="7" xfId="22" applyNumberFormat="1" applyFont="1" applyFill="1" applyBorder="1">
      <alignment/>
      <protection/>
    </xf>
    <xf numFmtId="3" fontId="10" fillId="0" borderId="26" xfId="22" applyNumberFormat="1" applyFont="1" applyFill="1" applyBorder="1" applyAlignment="1">
      <alignment horizontal="center"/>
      <protection/>
    </xf>
    <xf numFmtId="3" fontId="10" fillId="0" borderId="22" xfId="22" applyNumberFormat="1" applyFont="1" applyFill="1" applyBorder="1" applyAlignment="1">
      <alignment horizontal="center"/>
      <protection/>
    </xf>
    <xf numFmtId="3" fontId="2" fillId="0" borderId="6" xfId="22" applyNumberFormat="1" applyFont="1" applyFill="1" applyBorder="1" applyAlignment="1">
      <alignment horizontal="left"/>
      <protection/>
    </xf>
    <xf numFmtId="3" fontId="2" fillId="0" borderId="7" xfId="22" applyNumberFormat="1" applyFont="1" applyFill="1" applyBorder="1" applyAlignment="1">
      <alignment horizontal="left"/>
      <protection/>
    </xf>
    <xf numFmtId="3" fontId="2" fillId="0" borderId="28" xfId="22" applyNumberFormat="1" applyFont="1" applyBorder="1">
      <alignment/>
      <protection/>
    </xf>
    <xf numFmtId="3" fontId="2" fillId="0" borderId="31" xfId="22" applyNumberFormat="1" applyFont="1" applyFill="1" applyBorder="1">
      <alignment/>
      <protection/>
    </xf>
    <xf numFmtId="3" fontId="2" fillId="0" borderId="10" xfId="22" applyNumberFormat="1" applyFont="1" applyBorder="1">
      <alignment/>
      <protection/>
    </xf>
    <xf numFmtId="3" fontId="2" fillId="0" borderId="26" xfId="22" applyNumberFormat="1" applyFont="1" applyFill="1" applyBorder="1">
      <alignment/>
      <protection/>
    </xf>
    <xf numFmtId="3" fontId="2" fillId="0" borderId="27" xfId="22" applyNumberFormat="1" applyFont="1" applyFill="1" applyBorder="1">
      <alignment/>
      <protection/>
    </xf>
    <xf numFmtId="3" fontId="10" fillId="0" borderId="0" xfId="22" applyNumberFormat="1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15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 horizontal="right"/>
    </xf>
    <xf numFmtId="3" fontId="17" fillId="0" borderId="35" xfId="0" applyNumberFormat="1" applyFont="1" applyFill="1" applyBorder="1" applyAlignment="1">
      <alignment horizontal="right"/>
    </xf>
    <xf numFmtId="3" fontId="17" fillId="0" borderId="36" xfId="0" applyNumberFormat="1" applyFont="1" applyFill="1" applyBorder="1" applyAlignment="1">
      <alignment horizontal="right"/>
    </xf>
    <xf numFmtId="3" fontId="10" fillId="0" borderId="15" xfId="21" applyNumberFormat="1" applyFont="1" applyFill="1" applyBorder="1" applyAlignment="1">
      <alignment horizontal="right"/>
      <protection/>
    </xf>
    <xf numFmtId="3" fontId="10" fillId="0" borderId="11" xfId="21" applyNumberFormat="1" applyFont="1" applyFill="1" applyBorder="1" applyAlignment="1">
      <alignment horizontal="right"/>
      <protection/>
    </xf>
    <xf numFmtId="3" fontId="10" fillId="0" borderId="33" xfId="21" applyNumberFormat="1" applyFont="1" applyFill="1" applyBorder="1" applyAlignment="1">
      <alignment horizontal="right"/>
      <protection/>
    </xf>
    <xf numFmtId="0" fontId="2" fillId="0" borderId="22" xfId="23" applyFont="1" applyFill="1" applyBorder="1" applyAlignment="1">
      <alignment horizontal="left"/>
      <protection/>
    </xf>
    <xf numFmtId="3" fontId="10" fillId="0" borderId="22" xfId="15" applyNumberFormat="1" applyFont="1" applyFill="1" applyBorder="1" applyAlignment="1">
      <alignment horizontal="right"/>
    </xf>
    <xf numFmtId="0" fontId="10" fillId="0" borderId="22" xfId="23" applyFont="1" applyFill="1" applyBorder="1" applyAlignment="1">
      <alignment horizontal="left"/>
      <protection/>
    </xf>
    <xf numFmtId="0" fontId="10" fillId="0" borderId="20" xfId="23" applyFont="1" applyFill="1" applyBorder="1" applyAlignment="1">
      <alignment horizontal="left"/>
      <protection/>
    </xf>
    <xf numFmtId="0" fontId="10" fillId="0" borderId="37" xfId="23" applyFont="1" applyFill="1" applyBorder="1" applyAlignment="1">
      <alignment horizontal="left"/>
      <protection/>
    </xf>
    <xf numFmtId="3" fontId="10" fillId="0" borderId="37" xfId="23" applyNumberFormat="1" applyFont="1" applyFill="1" applyBorder="1">
      <alignment/>
      <protection/>
    </xf>
    <xf numFmtId="0" fontId="2" fillId="0" borderId="20" xfId="23" applyFont="1" applyFill="1" applyBorder="1" applyAlignment="1">
      <alignment horizontal="left"/>
      <protection/>
    </xf>
    <xf numFmtId="3" fontId="2" fillId="0" borderId="37" xfId="23" applyNumberFormat="1" applyFont="1" applyFill="1" applyBorder="1">
      <alignment/>
      <protection/>
    </xf>
    <xf numFmtId="0" fontId="10" fillId="0" borderId="25" xfId="23" applyFont="1" applyFill="1" applyBorder="1" applyAlignment="1">
      <alignment horizontal="left"/>
      <protection/>
    </xf>
    <xf numFmtId="3" fontId="10" fillId="0" borderId="38" xfId="23" applyNumberFormat="1" applyFont="1" applyFill="1" applyBorder="1">
      <alignment/>
      <protection/>
    </xf>
    <xf numFmtId="0" fontId="10" fillId="0" borderId="39" xfId="23" applyFont="1" applyBorder="1" applyAlignment="1">
      <alignment horizontal="left"/>
      <protection/>
    </xf>
    <xf numFmtId="3" fontId="10" fillId="0" borderId="22" xfId="15" applyNumberFormat="1" applyFont="1" applyBorder="1" applyAlignment="1">
      <alignment horizontal="right"/>
    </xf>
    <xf numFmtId="0" fontId="2" fillId="0" borderId="39" xfId="23" applyFont="1" applyBorder="1" applyAlignment="1">
      <alignment horizontal="left"/>
      <protection/>
    </xf>
    <xf numFmtId="3" fontId="10" fillId="0" borderId="26" xfId="15" applyNumberFormat="1" applyFont="1" applyBorder="1" applyAlignment="1">
      <alignment horizontal="right"/>
    </xf>
    <xf numFmtId="0" fontId="10" fillId="0" borderId="20" xfId="23" applyFont="1" applyBorder="1" applyAlignment="1">
      <alignment horizontal="left"/>
      <protection/>
    </xf>
    <xf numFmtId="3" fontId="10" fillId="0" borderId="40" xfId="23" applyNumberFormat="1" applyFont="1" applyBorder="1">
      <alignment/>
      <protection/>
    </xf>
    <xf numFmtId="0" fontId="10" fillId="0" borderId="40" xfId="23" applyFont="1" applyBorder="1" applyAlignment="1">
      <alignment horizontal="left"/>
      <protection/>
    </xf>
    <xf numFmtId="3" fontId="10" fillId="0" borderId="37" xfId="23" applyNumberFormat="1" applyFont="1" applyBorder="1">
      <alignment/>
      <protection/>
    </xf>
    <xf numFmtId="0" fontId="2" fillId="0" borderId="20" xfId="23" applyFont="1" applyBorder="1" applyAlignment="1">
      <alignment horizontal="left"/>
      <protection/>
    </xf>
    <xf numFmtId="3" fontId="2" fillId="0" borderId="37" xfId="23" applyNumberFormat="1" applyFont="1" applyBorder="1">
      <alignment/>
      <protection/>
    </xf>
    <xf numFmtId="0" fontId="10" fillId="0" borderId="25" xfId="23" applyFont="1" applyBorder="1" applyAlignment="1">
      <alignment horizontal="left"/>
      <protection/>
    </xf>
    <xf numFmtId="3" fontId="10" fillId="0" borderId="38" xfId="23" applyNumberFormat="1" applyFont="1" applyBorder="1">
      <alignment/>
      <protection/>
    </xf>
    <xf numFmtId="0" fontId="10" fillId="0" borderId="37" xfId="23" applyFont="1" applyBorder="1" applyAlignment="1">
      <alignment horizontal="left"/>
      <protection/>
    </xf>
    <xf numFmtId="0" fontId="10" fillId="0" borderId="26" xfId="23" applyFont="1" applyBorder="1" applyAlignment="1">
      <alignment horizontal="left"/>
      <protection/>
    </xf>
    <xf numFmtId="0" fontId="2" fillId="0" borderId="26" xfId="23" applyFont="1" applyBorder="1" applyAlignment="1">
      <alignment horizontal="left"/>
      <protection/>
    </xf>
    <xf numFmtId="0" fontId="7" fillId="0" borderId="22" xfId="23" applyFont="1" applyFill="1" applyBorder="1" applyAlignment="1">
      <alignment horizontal="left"/>
      <protection/>
    </xf>
    <xf numFmtId="0" fontId="7" fillId="0" borderId="39" xfId="23" applyFont="1" applyBorder="1" applyAlignment="1">
      <alignment horizontal="left"/>
      <protection/>
    </xf>
    <xf numFmtId="0" fontId="19" fillId="0" borderId="0" xfId="20" applyFont="1" applyBorder="1" applyAlignment="1">
      <alignment horizontal="left"/>
      <protection/>
    </xf>
    <xf numFmtId="3" fontId="19" fillId="0" borderId="0" xfId="22" applyNumberFormat="1" applyFont="1" applyFill="1" applyBorder="1">
      <alignment/>
      <protection/>
    </xf>
    <xf numFmtId="3" fontId="20" fillId="0" borderId="0" xfId="22" applyNumberFormat="1" applyFont="1" applyFill="1" applyBorder="1">
      <alignment/>
      <protection/>
    </xf>
    <xf numFmtId="3" fontId="6" fillId="0" borderId="0" xfId="22" applyNumberFormat="1" applyFont="1">
      <alignment/>
      <protection/>
    </xf>
    <xf numFmtId="3" fontId="21" fillId="0" borderId="0" xfId="22" applyNumberFormat="1" applyFont="1">
      <alignment/>
      <protection/>
    </xf>
    <xf numFmtId="3" fontId="10" fillId="0" borderId="15" xfId="0" applyNumberFormat="1" applyFont="1" applyBorder="1" applyAlignment="1">
      <alignment/>
    </xf>
    <xf numFmtId="3" fontId="10" fillId="0" borderId="15" xfId="25" applyNumberFormat="1" applyFont="1" applyBorder="1">
      <alignment/>
      <protection/>
    </xf>
    <xf numFmtId="3" fontId="10" fillId="0" borderId="33" xfId="25" applyNumberFormat="1" applyFont="1" applyBorder="1">
      <alignment/>
      <protection/>
    </xf>
    <xf numFmtId="3" fontId="10" fillId="0" borderId="33" xfId="0" applyNumberFormat="1" applyFont="1" applyBorder="1" applyAlignment="1">
      <alignment/>
    </xf>
    <xf numFmtId="0" fontId="2" fillId="0" borderId="41" xfId="0" applyFont="1" applyBorder="1" applyAlignment="1">
      <alignment horizontal="left"/>
    </xf>
    <xf numFmtId="3" fontId="2" fillId="0" borderId="10" xfId="25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3" fontId="2" fillId="0" borderId="15" xfId="25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25" applyNumberFormat="1" applyFont="1" applyBorder="1">
      <alignment/>
      <protection/>
    </xf>
    <xf numFmtId="3" fontId="2" fillId="0" borderId="4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/>
    </xf>
    <xf numFmtId="0" fontId="1" fillId="0" borderId="0" xfId="23" applyFont="1" applyBorder="1" applyAlignment="1">
      <alignment horizontal="left"/>
      <protection/>
    </xf>
    <xf numFmtId="0" fontId="8" fillId="2" borderId="47" xfId="20" applyFont="1" applyFill="1" applyBorder="1" applyAlignment="1">
      <alignment horizontal="center"/>
      <protection/>
    </xf>
    <xf numFmtId="0" fontId="8" fillId="2" borderId="12" xfId="0" applyFont="1" applyFill="1" applyBorder="1" applyAlignment="1">
      <alignment horizontal="center"/>
    </xf>
    <xf numFmtId="0" fontId="8" fillId="2" borderId="45" xfId="20" applyFont="1" applyFill="1" applyBorder="1" applyAlignment="1">
      <alignment horizontal="center"/>
      <protection/>
    </xf>
    <xf numFmtId="0" fontId="8" fillId="2" borderId="6" xfId="0" applyFont="1" applyFill="1" applyBorder="1" applyAlignment="1">
      <alignment horizontal="center"/>
    </xf>
    <xf numFmtId="49" fontId="18" fillId="0" borderId="6" xfId="21" applyNumberFormat="1" applyFont="1" applyFill="1" applyBorder="1" applyAlignment="1">
      <alignment horizontal="left"/>
      <protection/>
    </xf>
    <xf numFmtId="0" fontId="18" fillId="0" borderId="0" xfId="21" applyFont="1" applyFill="1" applyBorder="1" applyAlignment="1">
      <alignment horizontal="center"/>
      <protection/>
    </xf>
    <xf numFmtId="49" fontId="18" fillId="0" borderId="6" xfId="21" applyNumberFormat="1" applyFont="1" applyBorder="1" applyAlignment="1">
      <alignment horizontal="left"/>
      <protection/>
    </xf>
    <xf numFmtId="0" fontId="8" fillId="0" borderId="45" xfId="20" applyFont="1" applyBorder="1" applyAlignment="1">
      <alignment horizontal="left"/>
      <protection/>
    </xf>
    <xf numFmtId="0" fontId="8" fillId="0" borderId="0" xfId="20" applyFont="1" applyBorder="1" applyAlignment="1">
      <alignment horizontal="left"/>
      <protection/>
    </xf>
    <xf numFmtId="0" fontId="1" fillId="2" borderId="48" xfId="21" applyFont="1" applyFill="1" applyBorder="1" applyAlignment="1">
      <alignment horizontal="left"/>
      <protection/>
    </xf>
    <xf numFmtId="0" fontId="1" fillId="2" borderId="49" xfId="21" applyFont="1" applyFill="1" applyBorder="1" applyAlignment="1">
      <alignment horizontal="left"/>
      <protection/>
    </xf>
    <xf numFmtId="3" fontId="22" fillId="2" borderId="43" xfId="0" applyNumberFormat="1" applyFont="1" applyFill="1" applyBorder="1" applyAlignment="1">
      <alignment/>
    </xf>
    <xf numFmtId="0" fontId="0" fillId="0" borderId="0" xfId="20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20" applyFont="1" applyFill="1" applyAlignment="1">
      <alignment horizontal="right"/>
      <protection/>
    </xf>
    <xf numFmtId="49" fontId="3" fillId="0" borderId="32" xfId="21" applyNumberFormat="1" applyFont="1" applyBorder="1" applyAlignment="1">
      <alignment horizontal="left"/>
      <protection/>
    </xf>
    <xf numFmtId="49" fontId="3" fillId="0" borderId="11" xfId="21" applyNumberFormat="1" applyFont="1" applyFill="1" applyBorder="1" applyAlignment="1">
      <alignment horizontal="left"/>
      <protection/>
    </xf>
    <xf numFmtId="0" fontId="3" fillId="0" borderId="11" xfId="21" applyFont="1" applyBorder="1" applyAlignment="1">
      <alignment horizontal="left"/>
      <protection/>
    </xf>
    <xf numFmtId="49" fontId="3" fillId="0" borderId="7" xfId="21" applyNumberFormat="1" applyFont="1" applyBorder="1" applyAlignment="1">
      <alignment horizontal="left"/>
      <protection/>
    </xf>
    <xf numFmtId="49" fontId="3" fillId="0" borderId="50" xfId="21" applyNumberFormat="1" applyFont="1" applyBorder="1" applyAlignment="1">
      <alignment horizontal="left"/>
      <protection/>
    </xf>
    <xf numFmtId="49" fontId="3" fillId="0" borderId="2" xfId="21" applyNumberFormat="1" applyFont="1" applyBorder="1" applyAlignment="1">
      <alignment horizontal="left"/>
      <protection/>
    </xf>
    <xf numFmtId="49" fontId="3" fillId="0" borderId="51" xfId="21" applyNumberFormat="1" applyFont="1" applyBorder="1" applyAlignment="1">
      <alignment horizontal="left"/>
      <protection/>
    </xf>
    <xf numFmtId="49" fontId="8" fillId="0" borderId="43" xfId="21" applyNumberFormat="1" applyFont="1" applyBorder="1" applyAlignment="1">
      <alignment horizontal="left"/>
      <protection/>
    </xf>
    <xf numFmtId="0" fontId="8" fillId="0" borderId="49" xfId="20" applyFont="1" applyBorder="1" applyAlignment="1">
      <alignment horizontal="left"/>
      <protection/>
    </xf>
    <xf numFmtId="3" fontId="13" fillId="0" borderId="43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8" fillId="0" borderId="7" xfId="21" applyNumberFormat="1" applyFont="1" applyBorder="1" applyAlignment="1">
      <alignment horizontal="left"/>
      <protection/>
    </xf>
    <xf numFmtId="0" fontId="8" fillId="0" borderId="5" xfId="20" applyFont="1" applyBorder="1" applyAlignment="1">
      <alignment horizontal="left"/>
      <protection/>
    </xf>
    <xf numFmtId="3" fontId="13" fillId="0" borderId="7" xfId="0" applyNumberFormat="1" applyFont="1" applyFill="1" applyBorder="1" applyAlignment="1">
      <alignment horizontal="right"/>
    </xf>
    <xf numFmtId="49" fontId="8" fillId="0" borderId="48" xfId="21" applyNumberFormat="1" applyFont="1" applyBorder="1" applyAlignment="1">
      <alignment horizontal="left"/>
      <protection/>
    </xf>
    <xf numFmtId="3" fontId="13" fillId="0" borderId="43" xfId="0" applyNumberFormat="1" applyFont="1" applyFill="1" applyBorder="1" applyAlignment="1">
      <alignment horizontal="right"/>
    </xf>
    <xf numFmtId="3" fontId="8" fillId="0" borderId="43" xfId="20" applyNumberFormat="1" applyFont="1" applyBorder="1">
      <alignment/>
      <protection/>
    </xf>
    <xf numFmtId="3" fontId="8" fillId="0" borderId="43" xfId="0" applyNumberFormat="1" applyFont="1" applyBorder="1" applyAlignment="1">
      <alignment/>
    </xf>
    <xf numFmtId="0" fontId="8" fillId="2" borderId="48" xfId="20" applyFont="1" applyFill="1" applyBorder="1" applyAlignment="1">
      <alignment horizontal="left"/>
      <protection/>
    </xf>
    <xf numFmtId="3" fontId="8" fillId="2" borderId="43" xfId="0" applyNumberFormat="1" applyFont="1" applyFill="1" applyBorder="1" applyAlignment="1">
      <alignment/>
    </xf>
    <xf numFmtId="0" fontId="1" fillId="2" borderId="48" xfId="20" applyFont="1" applyFill="1" applyBorder="1" applyAlignment="1">
      <alignment horizontal="left"/>
      <protection/>
    </xf>
    <xf numFmtId="3" fontId="1" fillId="2" borderId="43" xfId="0" applyNumberFormat="1" applyFont="1" applyFill="1" applyBorder="1" applyAlignment="1">
      <alignment/>
    </xf>
    <xf numFmtId="0" fontId="18" fillId="0" borderId="48" xfId="20" applyFont="1" applyBorder="1" applyAlignment="1">
      <alignment horizontal="left"/>
      <protection/>
    </xf>
    <xf numFmtId="0" fontId="8" fillId="0" borderId="2" xfId="20" applyFont="1" applyBorder="1" applyAlignment="1">
      <alignment horizontal="left"/>
      <protection/>
    </xf>
    <xf numFmtId="3" fontId="10" fillId="0" borderId="11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3" fontId="0" fillId="0" borderId="0" xfId="22" applyNumberFormat="1" applyFont="1" applyFill="1" applyBorder="1">
      <alignment/>
      <protection/>
    </xf>
    <xf numFmtId="3" fontId="3" fillId="2" borderId="52" xfId="22" applyNumberFormat="1" applyFont="1" applyFill="1" applyBorder="1">
      <alignment/>
      <protection/>
    </xf>
    <xf numFmtId="3" fontId="3" fillId="2" borderId="53" xfId="22" applyNumberFormat="1" applyFont="1" applyFill="1" applyBorder="1">
      <alignment/>
      <protection/>
    </xf>
    <xf numFmtId="3" fontId="3" fillId="2" borderId="54" xfId="22" applyNumberFormat="1" applyFont="1" applyFill="1" applyBorder="1">
      <alignment/>
      <protection/>
    </xf>
    <xf numFmtId="3" fontId="3" fillId="0" borderId="37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8" fillId="0" borderId="0" xfId="23" applyFont="1" applyBorder="1" applyAlignment="1">
      <alignment horizontal="center"/>
      <protection/>
    </xf>
    <xf numFmtId="3" fontId="17" fillId="0" borderId="1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2" borderId="21" xfId="23" applyFont="1" applyFill="1" applyBorder="1" applyAlignment="1">
      <alignment horizontal="center"/>
      <protection/>
    </xf>
    <xf numFmtId="0" fontId="2" fillId="2" borderId="13" xfId="23" applyFont="1" applyFill="1" applyBorder="1" applyAlignment="1">
      <alignment horizontal="center"/>
      <protection/>
    </xf>
    <xf numFmtId="0" fontId="2" fillId="2" borderId="12" xfId="0" applyFont="1" applyFill="1" applyBorder="1" applyAlignment="1">
      <alignment horizontal="center"/>
    </xf>
    <xf numFmtId="0" fontId="2" fillId="2" borderId="22" xfId="23" applyFont="1" applyFill="1" applyBorder="1" applyAlignment="1">
      <alignment horizontal="center"/>
      <protection/>
    </xf>
    <xf numFmtId="0" fontId="2" fillId="2" borderId="0" xfId="23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27" xfId="23" applyFont="1" applyFill="1" applyBorder="1" applyAlignment="1">
      <alignment horizontal="center"/>
      <protection/>
    </xf>
    <xf numFmtId="0" fontId="2" fillId="2" borderId="5" xfId="23" applyFont="1" applyFill="1" applyBorder="1" applyAlignment="1">
      <alignment horizontal="center"/>
      <protection/>
    </xf>
    <xf numFmtId="0" fontId="2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24" applyNumberFormat="1" applyFont="1" applyBorder="1" applyAlignment="1">
      <alignment horizontal="left"/>
      <protection/>
    </xf>
    <xf numFmtId="0" fontId="3" fillId="0" borderId="0" xfId="24" applyFont="1" applyBorder="1">
      <alignment/>
      <protection/>
    </xf>
    <xf numFmtId="49" fontId="3" fillId="0" borderId="0" xfId="24" applyNumberFormat="1" applyFont="1" applyBorder="1" applyAlignment="1">
      <alignment horizontal="center"/>
      <protection/>
    </xf>
    <xf numFmtId="3" fontId="3" fillId="0" borderId="0" xfId="24" applyNumberFormat="1" applyFont="1" applyBorder="1">
      <alignment/>
      <protection/>
    </xf>
    <xf numFmtId="3" fontId="3" fillId="0" borderId="0" xfId="24" applyNumberFormat="1" applyFont="1" applyBorder="1" applyAlignment="1">
      <alignment horizontal="right"/>
      <protection/>
    </xf>
    <xf numFmtId="49" fontId="3" fillId="3" borderId="50" xfId="24" applyNumberFormat="1" applyFont="1" applyFill="1" applyBorder="1" applyAlignment="1">
      <alignment horizontal="center"/>
      <protection/>
    </xf>
    <xf numFmtId="0" fontId="3" fillId="2" borderId="12" xfId="24" applyFont="1" applyFill="1" applyBorder="1" applyAlignment="1">
      <alignment horizontal="center"/>
      <protection/>
    </xf>
    <xf numFmtId="49" fontId="3" fillId="2" borderId="13" xfId="24" applyNumberFormat="1" applyFont="1" applyFill="1" applyBorder="1" applyAlignment="1">
      <alignment horizontal="center"/>
      <protection/>
    </xf>
    <xf numFmtId="49" fontId="3" fillId="2" borderId="12" xfId="24" applyNumberFormat="1" applyFont="1" applyFill="1" applyBorder="1" applyAlignment="1">
      <alignment horizontal="center"/>
      <protection/>
    </xf>
    <xf numFmtId="3" fontId="3" fillId="2" borderId="13" xfId="24" applyNumberFormat="1" applyFont="1" applyFill="1" applyBorder="1" applyAlignment="1">
      <alignment horizontal="center"/>
      <protection/>
    </xf>
    <xf numFmtId="3" fontId="3" fillId="2" borderId="12" xfId="15" applyNumberFormat="1" applyFont="1" applyFill="1" applyBorder="1" applyAlignment="1">
      <alignment horizontal="center"/>
    </xf>
    <xf numFmtId="49" fontId="3" fillId="3" borderId="2" xfId="24" applyNumberFormat="1" applyFont="1" applyFill="1" applyBorder="1" applyAlignment="1">
      <alignment horizontal="center"/>
      <protection/>
    </xf>
    <xf numFmtId="0" fontId="3" fillId="2" borderId="6" xfId="24" applyFont="1" applyFill="1" applyBorder="1" applyAlignment="1">
      <alignment horizontal="center"/>
      <protection/>
    </xf>
    <xf numFmtId="49" fontId="3" fillId="2" borderId="0" xfId="24" applyNumberFormat="1" applyFont="1" applyFill="1" applyBorder="1" applyAlignment="1">
      <alignment horizontal="center"/>
      <protection/>
    </xf>
    <xf numFmtId="49" fontId="3" fillId="2" borderId="6" xfId="24" applyNumberFormat="1" applyFont="1" applyFill="1" applyBorder="1" applyAlignment="1">
      <alignment horizontal="center"/>
      <protection/>
    </xf>
    <xf numFmtId="3" fontId="3" fillId="2" borderId="0" xfId="24" applyNumberFormat="1" applyFont="1" applyFill="1" applyBorder="1" applyAlignment="1">
      <alignment horizontal="center"/>
      <protection/>
    </xf>
    <xf numFmtId="3" fontId="3" fillId="2" borderId="6" xfId="15" applyNumberFormat="1" applyFont="1" applyFill="1" applyBorder="1" applyAlignment="1">
      <alignment horizontal="center"/>
    </xf>
    <xf numFmtId="0" fontId="3" fillId="2" borderId="7" xfId="24" applyFont="1" applyFill="1" applyBorder="1" applyAlignment="1">
      <alignment horizontal="center"/>
      <protection/>
    </xf>
    <xf numFmtId="49" fontId="3" fillId="2" borderId="5" xfId="24" applyNumberFormat="1" applyFont="1" applyFill="1" applyBorder="1" applyAlignment="1">
      <alignment horizontal="center"/>
      <protection/>
    </xf>
    <xf numFmtId="49" fontId="3" fillId="2" borderId="7" xfId="24" applyNumberFormat="1" applyFont="1" applyFill="1" applyBorder="1" applyAlignment="1">
      <alignment horizontal="center"/>
      <protection/>
    </xf>
    <xf numFmtId="3" fontId="3" fillId="2" borderId="5" xfId="24" applyNumberFormat="1" applyFont="1" applyFill="1" applyBorder="1" applyAlignment="1">
      <alignment horizontal="center"/>
      <protection/>
    </xf>
    <xf numFmtId="3" fontId="3" fillId="2" borderId="7" xfId="15" applyNumberFormat="1" applyFont="1" applyFill="1" applyBorder="1" applyAlignment="1">
      <alignment horizontal="center"/>
    </xf>
    <xf numFmtId="49" fontId="3" fillId="0" borderId="26" xfId="24" applyNumberFormat="1" applyFont="1" applyBorder="1" applyAlignment="1">
      <alignment horizontal="center"/>
      <protection/>
    </xf>
    <xf numFmtId="3" fontId="3" fillId="0" borderId="26" xfId="24" applyNumberFormat="1" applyFont="1" applyBorder="1" applyAlignment="1">
      <alignment horizontal="right"/>
      <protection/>
    </xf>
    <xf numFmtId="3" fontId="3" fillId="0" borderId="26" xfId="15" applyNumberFormat="1" applyFont="1" applyBorder="1" applyAlignment="1">
      <alignment horizontal="right"/>
    </xf>
    <xf numFmtId="49" fontId="3" fillId="0" borderId="30" xfId="24" applyNumberFormat="1" applyFont="1" applyBorder="1" applyAlignment="1">
      <alignment horizontal="center"/>
      <protection/>
    </xf>
    <xf numFmtId="49" fontId="3" fillId="0" borderId="20" xfId="24" applyNumberFormat="1" applyFont="1" applyBorder="1" applyAlignment="1">
      <alignment horizontal="center"/>
      <protection/>
    </xf>
    <xf numFmtId="3" fontId="3" fillId="0" borderId="20" xfId="24" applyNumberFormat="1" applyFont="1" applyBorder="1">
      <alignment/>
      <protection/>
    </xf>
    <xf numFmtId="3" fontId="3" fillId="0" borderId="20" xfId="24" applyNumberFormat="1" applyFont="1" applyBorder="1" applyAlignment="1">
      <alignment horizontal="right"/>
      <protection/>
    </xf>
    <xf numFmtId="3" fontId="3" fillId="0" borderId="26" xfId="24" applyNumberFormat="1" applyFont="1" applyBorder="1">
      <alignment/>
      <protection/>
    </xf>
    <xf numFmtId="3" fontId="3" fillId="0" borderId="20" xfId="15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3" fillId="0" borderId="0" xfId="24" applyFont="1" applyBorder="1" applyAlignment="1">
      <alignment horizontal="left"/>
      <protection/>
    </xf>
    <xf numFmtId="3" fontId="3" fillId="0" borderId="0" xfId="15" applyNumberFormat="1" applyFont="1" applyBorder="1" applyAlignment="1">
      <alignment horizontal="right"/>
    </xf>
    <xf numFmtId="49" fontId="3" fillId="0" borderId="20" xfId="24" applyNumberFormat="1" applyFont="1" applyFill="1" applyBorder="1" applyAlignment="1">
      <alignment horizontal="center"/>
      <protection/>
    </xf>
    <xf numFmtId="3" fontId="3" fillId="0" borderId="20" xfId="24" applyNumberFormat="1" applyFont="1" applyFill="1" applyBorder="1">
      <alignment/>
      <protection/>
    </xf>
    <xf numFmtId="3" fontId="3" fillId="0" borderId="20" xfId="24" applyNumberFormat="1" applyFont="1" applyFill="1" applyBorder="1" applyAlignment="1">
      <alignment horizontal="right"/>
      <protection/>
    </xf>
    <xf numFmtId="3" fontId="10" fillId="0" borderId="22" xfId="22" applyNumberFormat="1" applyFont="1" applyFill="1" applyBorder="1">
      <alignment/>
      <protection/>
    </xf>
    <xf numFmtId="3" fontId="2" fillId="0" borderId="43" xfId="0" applyNumberFormat="1" applyFont="1" applyBorder="1" applyAlignment="1">
      <alignment/>
    </xf>
    <xf numFmtId="0" fontId="10" fillId="0" borderId="0" xfId="20" applyFont="1" applyAlignment="1">
      <alignment horizontal="right"/>
      <protection/>
    </xf>
    <xf numFmtId="49" fontId="10" fillId="2" borderId="12" xfId="21" applyNumberFormat="1" applyFont="1" applyFill="1" applyBorder="1" applyAlignment="1">
      <alignment horizontal="left"/>
      <protection/>
    </xf>
    <xf numFmtId="0" fontId="2" fillId="2" borderId="13" xfId="21" applyFont="1" applyFill="1" applyBorder="1" applyAlignment="1">
      <alignment horizontal="center"/>
      <protection/>
    </xf>
    <xf numFmtId="49" fontId="10" fillId="2" borderId="6" xfId="21" applyNumberFormat="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center"/>
      <protection/>
    </xf>
    <xf numFmtId="49" fontId="10" fillId="2" borderId="7" xfId="21" applyNumberFormat="1" applyFont="1" applyFill="1" applyBorder="1" applyAlignment="1">
      <alignment horizontal="left"/>
      <protection/>
    </xf>
    <xf numFmtId="0" fontId="10" fillId="2" borderId="5" xfId="21" applyFont="1" applyFill="1" applyBorder="1" applyAlignment="1">
      <alignment horizontal="center"/>
      <protection/>
    </xf>
    <xf numFmtId="0" fontId="4" fillId="0" borderId="55" xfId="21" applyFont="1" applyBorder="1" applyAlignment="1">
      <alignment horizontal="left"/>
      <protection/>
    </xf>
    <xf numFmtId="0" fontId="4" fillId="0" borderId="56" xfId="21" applyFont="1" applyBorder="1" applyAlignment="1">
      <alignment horizontal="left"/>
      <protection/>
    </xf>
    <xf numFmtId="0" fontId="4" fillId="0" borderId="57" xfId="21" applyFont="1" applyBorder="1" applyAlignment="1">
      <alignment horizontal="left"/>
      <protection/>
    </xf>
    <xf numFmtId="0" fontId="4" fillId="0" borderId="56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56" xfId="20" applyFont="1" applyBorder="1" applyAlignment="1">
      <alignment horizontal="left"/>
      <protection/>
    </xf>
    <xf numFmtId="0" fontId="4" fillId="0" borderId="57" xfId="20" applyFont="1" applyBorder="1" applyAlignment="1">
      <alignment horizontal="left"/>
      <protection/>
    </xf>
    <xf numFmtId="0" fontId="4" fillId="0" borderId="50" xfId="21" applyFont="1" applyBorder="1" applyAlignment="1">
      <alignment horizontal="left"/>
      <protection/>
    </xf>
    <xf numFmtId="0" fontId="4" fillId="0" borderId="3" xfId="21" applyFont="1" applyBorder="1" applyAlignment="1">
      <alignment horizontal="left"/>
      <protection/>
    </xf>
    <xf numFmtId="0" fontId="4" fillId="0" borderId="4" xfId="20" applyFont="1" applyBorder="1" applyAlignment="1">
      <alignment horizontal="left"/>
      <protection/>
    </xf>
    <xf numFmtId="0" fontId="4" fillId="0" borderId="58" xfId="21" applyFont="1" applyBorder="1" applyAlignment="1">
      <alignment horizontal="left"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10" fillId="0" borderId="40" xfId="15" applyNumberFormat="1" applyFont="1" applyBorder="1" applyAlignment="1">
      <alignment horizontal="right"/>
    </xf>
    <xf numFmtId="0" fontId="2" fillId="0" borderId="28" xfId="23" applyFont="1" applyBorder="1" applyAlignment="1">
      <alignment horizontal="left"/>
      <protection/>
    </xf>
    <xf numFmtId="3" fontId="10" fillId="0" borderId="27" xfId="22" applyNumberFormat="1" applyFont="1" applyFill="1" applyBorder="1">
      <alignment/>
      <protection/>
    </xf>
    <xf numFmtId="3" fontId="2" fillId="0" borderId="0" xfId="22" applyNumberFormat="1" applyFont="1" applyFill="1">
      <alignment/>
      <protection/>
    </xf>
    <xf numFmtId="3" fontId="2" fillId="0" borderId="0" xfId="22" applyNumberFormat="1" applyFont="1" applyFill="1" applyBorder="1">
      <alignment/>
      <protection/>
    </xf>
    <xf numFmtId="3" fontId="2" fillId="0" borderId="0" xfId="24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20" xfId="24" applyFont="1" applyBorder="1" applyAlignment="1">
      <alignment horizontal="left"/>
      <protection/>
    </xf>
    <xf numFmtId="0" fontId="3" fillId="0" borderId="20" xfId="24" applyFont="1" applyFill="1" applyBorder="1">
      <alignment/>
      <protection/>
    </xf>
    <xf numFmtId="0" fontId="3" fillId="0" borderId="20" xfId="24" applyFont="1" applyBorder="1">
      <alignment/>
      <protection/>
    </xf>
    <xf numFmtId="0" fontId="3" fillId="0" borderId="0" xfId="0" applyFont="1" applyBorder="1" applyAlignment="1">
      <alignment/>
    </xf>
    <xf numFmtId="0" fontId="3" fillId="0" borderId="0" xfId="24" applyFont="1" applyBorder="1" applyAlignment="1">
      <alignment horizontal="right"/>
      <protection/>
    </xf>
    <xf numFmtId="0" fontId="3" fillId="0" borderId="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0" xfId="0" applyFont="1" applyBorder="1" applyAlignment="1">
      <alignment/>
    </xf>
    <xf numFmtId="49" fontId="8" fillId="0" borderId="0" xfId="24" applyNumberFormat="1" applyFont="1" applyBorder="1" applyAlignment="1">
      <alignment horizontal="left"/>
      <protection/>
    </xf>
    <xf numFmtId="3" fontId="11" fillId="0" borderId="43" xfId="0" applyNumberFormat="1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3" fontId="17" fillId="0" borderId="32" xfId="0" applyNumberFormat="1" applyFont="1" applyFill="1" applyBorder="1" applyAlignment="1">
      <alignment horizontal="right"/>
    </xf>
    <xf numFmtId="3" fontId="17" fillId="0" borderId="59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3" fontId="17" fillId="0" borderId="20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49" fontId="3" fillId="3" borderId="45" xfId="24" applyNumberFormat="1" applyFont="1" applyFill="1" applyBorder="1" applyAlignment="1">
      <alignment horizontal="center"/>
      <protection/>
    </xf>
    <xf numFmtId="49" fontId="3" fillId="4" borderId="20" xfId="24" applyNumberFormat="1" applyFont="1" applyFill="1" applyBorder="1" applyAlignment="1">
      <alignment horizontal="center"/>
      <protection/>
    </xf>
    <xf numFmtId="180" fontId="3" fillId="4" borderId="20" xfId="18" applyNumberFormat="1" applyFont="1" applyFill="1" applyBorder="1" applyAlignment="1">
      <alignment/>
    </xf>
    <xf numFmtId="3" fontId="3" fillId="4" borderId="20" xfId="24" applyNumberFormat="1" applyFont="1" applyFill="1" applyBorder="1">
      <alignment/>
      <protection/>
    </xf>
    <xf numFmtId="3" fontId="3" fillId="4" borderId="20" xfId="24" applyNumberFormat="1" applyFont="1" applyFill="1" applyBorder="1" applyAlignment="1">
      <alignment horizontal="right"/>
      <protection/>
    </xf>
    <xf numFmtId="49" fontId="3" fillId="2" borderId="20" xfId="24" applyNumberFormat="1" applyFont="1" applyFill="1" applyBorder="1" applyAlignment="1">
      <alignment horizontal="center"/>
      <protection/>
    </xf>
    <xf numFmtId="3" fontId="3" fillId="2" borderId="20" xfId="24" applyNumberFormat="1" applyFont="1" applyFill="1" applyBorder="1" applyAlignment="1">
      <alignment horizontal="center"/>
      <protection/>
    </xf>
    <xf numFmtId="3" fontId="3" fillId="2" borderId="20" xfId="15" applyNumberFormat="1" applyFont="1" applyFill="1" applyBorder="1" applyAlignment="1">
      <alignment horizontal="center"/>
    </xf>
    <xf numFmtId="3" fontId="3" fillId="0" borderId="20" xfId="24" applyNumberFormat="1" applyFont="1" applyBorder="1" applyAlignment="1">
      <alignment horizontal="center"/>
      <protection/>
    </xf>
    <xf numFmtId="0" fontId="3" fillId="0" borderId="26" xfId="24" applyFont="1" applyBorder="1" applyAlignment="1">
      <alignment horizontal="left"/>
      <protection/>
    </xf>
    <xf numFmtId="0" fontId="3" fillId="0" borderId="26" xfId="0" applyFont="1" applyBorder="1" applyAlignment="1">
      <alignment/>
    </xf>
    <xf numFmtId="49" fontId="3" fillId="3" borderId="60" xfId="24" applyNumberFormat="1" applyFont="1" applyFill="1" applyBorder="1" applyAlignment="1">
      <alignment horizontal="center"/>
      <protection/>
    </xf>
    <xf numFmtId="49" fontId="3" fillId="3" borderId="61" xfId="24" applyNumberFormat="1" applyFont="1" applyFill="1" applyBorder="1" applyAlignment="1">
      <alignment horizontal="center"/>
      <protection/>
    </xf>
    <xf numFmtId="0" fontId="3" fillId="0" borderId="26" xfId="24" applyFont="1" applyBorder="1">
      <alignment/>
      <protection/>
    </xf>
    <xf numFmtId="0" fontId="3" fillId="2" borderId="41" xfId="24" applyFont="1" applyFill="1" applyBorder="1" applyAlignment="1">
      <alignment horizontal="center"/>
      <protection/>
    </xf>
    <xf numFmtId="49" fontId="3" fillId="2" borderId="28" xfId="24" applyNumberFormat="1" applyFont="1" applyFill="1" applyBorder="1" applyAlignment="1">
      <alignment horizontal="center"/>
      <protection/>
    </xf>
    <xf numFmtId="3" fontId="3" fillId="2" borderId="28" xfId="24" applyNumberFormat="1" applyFont="1" applyFill="1" applyBorder="1" applyAlignment="1">
      <alignment horizontal="center"/>
      <protection/>
    </xf>
    <xf numFmtId="3" fontId="3" fillId="2" borderId="28" xfId="15" applyNumberFormat="1" applyFont="1" applyFill="1" applyBorder="1" applyAlignment="1">
      <alignment horizontal="center"/>
    </xf>
    <xf numFmtId="0" fontId="3" fillId="0" borderId="28" xfId="0" applyFont="1" applyBorder="1" applyAlignment="1">
      <alignment/>
    </xf>
    <xf numFmtId="3" fontId="3" fillId="2" borderId="62" xfId="15" applyNumberFormat="1" applyFont="1" applyFill="1" applyBorder="1" applyAlignment="1">
      <alignment horizontal="center"/>
    </xf>
    <xf numFmtId="0" fontId="3" fillId="2" borderId="18" xfId="24" applyFont="1" applyFill="1" applyBorder="1" applyAlignment="1">
      <alignment horizontal="center"/>
      <protection/>
    </xf>
    <xf numFmtId="3" fontId="3" fillId="2" borderId="63" xfId="15" applyNumberFormat="1" applyFont="1" applyFill="1" applyBorder="1" applyAlignment="1">
      <alignment horizontal="center"/>
    </xf>
    <xf numFmtId="0" fontId="3" fillId="2" borderId="17" xfId="24" applyFont="1" applyFill="1" applyBorder="1" applyAlignment="1">
      <alignment horizontal="center"/>
      <protection/>
    </xf>
    <xf numFmtId="49" fontId="3" fillId="2" borderId="25" xfId="24" applyNumberFormat="1" applyFont="1" applyFill="1" applyBorder="1" applyAlignment="1">
      <alignment horizontal="center"/>
      <protection/>
    </xf>
    <xf numFmtId="3" fontId="3" fillId="2" borderId="25" xfId="24" applyNumberFormat="1" applyFont="1" applyFill="1" applyBorder="1" applyAlignment="1">
      <alignment horizontal="center"/>
      <protection/>
    </xf>
    <xf numFmtId="3" fontId="3" fillId="2" borderId="25" xfId="15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3" fontId="3" fillId="2" borderId="64" xfId="15" applyNumberFormat="1" applyFont="1" applyFill="1" applyBorder="1" applyAlignment="1">
      <alignment horizontal="center"/>
    </xf>
    <xf numFmtId="0" fontId="3" fillId="0" borderId="30" xfId="24" applyNumberFormat="1" applyFont="1" applyBorder="1" applyAlignment="1">
      <alignment horizontal="center"/>
      <protection/>
    </xf>
    <xf numFmtId="3" fontId="27" fillId="0" borderId="0" xfId="22" applyNumberFormat="1" applyFont="1" applyFill="1" applyBorder="1">
      <alignment/>
      <protection/>
    </xf>
    <xf numFmtId="3" fontId="28" fillId="0" borderId="0" xfId="22" applyNumberFormat="1" applyFont="1" applyFill="1" applyBorder="1">
      <alignment/>
      <protection/>
    </xf>
    <xf numFmtId="3" fontId="4" fillId="0" borderId="0" xfId="23" applyNumberFormat="1" applyFont="1" applyBorder="1">
      <alignment/>
      <protection/>
    </xf>
    <xf numFmtId="3" fontId="4" fillId="0" borderId="0" xfId="23" applyNumberFormat="1" applyFont="1">
      <alignment/>
      <protection/>
    </xf>
    <xf numFmtId="0" fontId="2" fillId="2" borderId="20" xfId="23" applyFont="1" applyFill="1" applyBorder="1" applyAlignment="1">
      <alignment horizontal="left"/>
      <protection/>
    </xf>
    <xf numFmtId="0" fontId="10" fillId="2" borderId="40" xfId="23" applyFont="1" applyFill="1" applyBorder="1" applyAlignment="1">
      <alignment horizontal="left"/>
      <protection/>
    </xf>
    <xf numFmtId="3" fontId="2" fillId="2" borderId="37" xfId="23" applyNumberFormat="1" applyFont="1" applyFill="1" applyBorder="1">
      <alignment/>
      <protection/>
    </xf>
    <xf numFmtId="0" fontId="10" fillId="2" borderId="37" xfId="23" applyFont="1" applyFill="1" applyBorder="1" applyAlignment="1">
      <alignment horizontal="left"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5" borderId="47" xfId="0" applyFont="1" applyFill="1" applyBorder="1" applyAlignment="1">
      <alignment horizontal="center"/>
    </xf>
    <xf numFmtId="4" fontId="8" fillId="5" borderId="2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5" borderId="65" xfId="0" applyNumberFormat="1" applyFont="1" applyFill="1" applyBorder="1" applyAlignment="1">
      <alignment horizontal="center"/>
    </xf>
    <xf numFmtId="0" fontId="8" fillId="5" borderId="45" xfId="0" applyFont="1" applyFill="1" applyBorder="1" applyAlignment="1">
      <alignment/>
    </xf>
    <xf numFmtId="4" fontId="8" fillId="5" borderId="27" xfId="0" applyNumberFormat="1" applyFont="1" applyFill="1" applyBorder="1" applyAlignment="1">
      <alignment horizontal="center"/>
    </xf>
    <xf numFmtId="4" fontId="8" fillId="5" borderId="0" xfId="0" applyNumberFormat="1" applyFont="1" applyFill="1" applyBorder="1" applyAlignment="1">
      <alignment horizontal="center"/>
    </xf>
    <xf numFmtId="4" fontId="8" fillId="5" borderId="66" xfId="0" applyNumberFormat="1" applyFont="1" applyFill="1" applyBorder="1" applyAlignment="1">
      <alignment horizontal="center"/>
    </xf>
    <xf numFmtId="0" fontId="5" fillId="0" borderId="41" xfId="0" applyFont="1" applyBorder="1" applyAlignment="1">
      <alignment/>
    </xf>
    <xf numFmtId="4" fontId="5" fillId="0" borderId="28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5" fillId="0" borderId="47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4" fillId="0" borderId="65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4" fontId="5" fillId="0" borderId="26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/>
    </xf>
    <xf numFmtId="4" fontId="4" fillId="0" borderId="6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0" fontId="5" fillId="0" borderId="19" xfId="0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/>
    </xf>
    <xf numFmtId="4" fontId="4" fillId="0" borderId="68" xfId="0" applyNumberFormat="1" applyFont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4" fillId="0" borderId="66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4" fontId="5" fillId="0" borderId="57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4" fontId="5" fillId="0" borderId="27" xfId="0" applyNumberFormat="1" applyFont="1" applyFill="1" applyBorder="1" applyAlignment="1">
      <alignment horizontal="right"/>
    </xf>
    <xf numFmtId="4" fontId="5" fillId="0" borderId="27" xfId="0" applyNumberFormat="1" applyFont="1" applyBorder="1" applyAlignment="1">
      <alignment/>
    </xf>
    <xf numFmtId="0" fontId="4" fillId="0" borderId="47" xfId="0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4" fillId="0" borderId="51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51" xfId="0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/>
    </xf>
    <xf numFmtId="0" fontId="15" fillId="0" borderId="45" xfId="0" applyFont="1" applyBorder="1" applyAlignment="1">
      <alignment/>
    </xf>
    <xf numFmtId="4" fontId="15" fillId="0" borderId="22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8" fillId="0" borderId="66" xfId="0" applyNumberFormat="1" applyFont="1" applyBorder="1" applyAlignment="1">
      <alignment horizontal="right"/>
    </xf>
    <xf numFmtId="0" fontId="15" fillId="0" borderId="51" xfId="0" applyFont="1" applyBorder="1" applyAlignment="1">
      <alignment/>
    </xf>
    <xf numFmtId="4" fontId="15" fillId="0" borderId="27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/>
    </xf>
    <xf numFmtId="4" fontId="8" fillId="0" borderId="69" xfId="0" applyNumberFormat="1" applyFont="1" applyBorder="1" applyAlignment="1">
      <alignment horizontal="right"/>
    </xf>
    <xf numFmtId="4" fontId="4" fillId="0" borderId="69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23" applyNumberFormat="1" applyFont="1">
      <alignment/>
      <protection/>
    </xf>
    <xf numFmtId="4" fontId="3" fillId="0" borderId="0" xfId="0" applyNumberFormat="1" applyFont="1" applyAlignment="1">
      <alignment/>
    </xf>
    <xf numFmtId="3" fontId="5" fillId="0" borderId="0" xfId="23" applyNumberFormat="1" applyFont="1" applyBorder="1">
      <alignment/>
      <protection/>
    </xf>
    <xf numFmtId="179" fontId="10" fillId="0" borderId="0" xfId="15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8" fillId="0" borderId="0" xfId="15" applyFont="1" applyAlignment="1">
      <alignment/>
    </xf>
    <xf numFmtId="179" fontId="2" fillId="0" borderId="0" xfId="15" applyFont="1" applyAlignment="1">
      <alignment/>
    </xf>
    <xf numFmtId="4" fontId="5" fillId="0" borderId="0" xfId="0" applyNumberFormat="1" applyFont="1" applyAlignment="1">
      <alignment/>
    </xf>
    <xf numFmtId="179" fontId="29" fillId="0" borderId="0" xfId="15" applyFont="1" applyAlignment="1">
      <alignment/>
    </xf>
    <xf numFmtId="4" fontId="10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9" fontId="0" fillId="0" borderId="0" xfId="15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4" fontId="30" fillId="6" borderId="70" xfId="0" applyNumberFormat="1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4" fontId="30" fillId="6" borderId="64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left" vertical="center" indent="1"/>
    </xf>
    <xf numFmtId="4" fontId="0" fillId="0" borderId="71" xfId="0" applyNumberFormat="1" applyFont="1" applyFill="1" applyBorder="1" applyAlignment="1">
      <alignment horizontal="right" vertical="center"/>
    </xf>
    <xf numFmtId="4" fontId="0" fillId="0" borderId="72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0" fontId="34" fillId="7" borderId="73" xfId="0" applyFont="1" applyFill="1" applyBorder="1" applyAlignment="1">
      <alignment horizontal="left" vertical="center" indent="1"/>
    </xf>
    <xf numFmtId="4" fontId="34" fillId="7" borderId="74" xfId="0" applyNumberFormat="1" applyFont="1" applyFill="1" applyBorder="1" applyAlignment="1">
      <alignment horizontal="right" vertical="center"/>
    </xf>
    <xf numFmtId="4" fontId="34" fillId="7" borderId="75" xfId="0" applyNumberFormat="1" applyFont="1" applyFill="1" applyBorder="1" applyAlignment="1">
      <alignment horizontal="right"/>
    </xf>
    <xf numFmtId="4" fontId="34" fillId="7" borderId="76" xfId="0" applyNumberFormat="1" applyFont="1" applyFill="1" applyBorder="1" applyAlignment="1">
      <alignment horizontal="right"/>
    </xf>
    <xf numFmtId="4" fontId="34" fillId="7" borderId="77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0" fillId="0" borderId="73" xfId="0" applyBorder="1" applyAlignment="1">
      <alignment horizontal="left" vertical="center" indent="1"/>
    </xf>
    <xf numFmtId="4" fontId="0" fillId="0" borderId="74" xfId="0" applyNumberFormat="1" applyFill="1" applyBorder="1" applyAlignment="1">
      <alignment horizontal="right" vertical="center"/>
    </xf>
    <xf numFmtId="4" fontId="0" fillId="0" borderId="78" xfId="0" applyNumberFormat="1" applyFill="1" applyBorder="1" applyAlignment="1">
      <alignment horizontal="right" vertical="center"/>
    </xf>
    <xf numFmtId="4" fontId="0" fillId="0" borderId="52" xfId="0" applyNumberFormat="1" applyFill="1" applyBorder="1" applyAlignment="1">
      <alignment horizontal="right" vertical="center"/>
    </xf>
    <xf numFmtId="4" fontId="0" fillId="0" borderId="65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36" fillId="7" borderId="74" xfId="0" applyNumberFormat="1" applyFont="1" applyFill="1" applyBorder="1" applyAlignment="1">
      <alignment horizontal="right" vertical="center"/>
    </xf>
    <xf numFmtId="4" fontId="36" fillId="7" borderId="79" xfId="0" applyNumberFormat="1" applyFont="1" applyFill="1" applyBorder="1" applyAlignment="1">
      <alignment horizontal="right" vertical="center"/>
    </xf>
    <xf numFmtId="4" fontId="36" fillId="7" borderId="80" xfId="0" applyNumberFormat="1" applyFont="1" applyFill="1" applyBorder="1" applyAlignment="1">
      <alignment horizontal="right" vertical="center"/>
    </xf>
    <xf numFmtId="4" fontId="36" fillId="7" borderId="77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0" fillId="0" borderId="61" xfId="0" applyBorder="1" applyAlignment="1">
      <alignment horizontal="left" vertical="center" indent="1"/>
    </xf>
    <xf numFmtId="4" fontId="0" fillId="0" borderId="81" xfId="0" applyNumberFormat="1" applyFill="1" applyBorder="1" applyAlignment="1">
      <alignment horizontal="right" vertical="center"/>
    </xf>
    <xf numFmtId="4" fontId="0" fillId="0" borderId="82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0" fontId="0" fillId="0" borderId="61" xfId="0" applyFont="1" applyBorder="1" applyAlignment="1">
      <alignment horizontal="left" vertical="center" indent="1"/>
    </xf>
    <xf numFmtId="4" fontId="0" fillId="0" borderId="83" xfId="0" applyNumberFormat="1" applyFill="1" applyBorder="1" applyAlignment="1">
      <alignment horizontal="right" vertical="center"/>
    </xf>
    <xf numFmtId="4" fontId="0" fillId="0" borderId="82" xfId="0" applyNumberFormat="1" applyFont="1" applyFill="1" applyBorder="1" applyAlignment="1">
      <alignment horizontal="right" vertical="center"/>
    </xf>
    <xf numFmtId="4" fontId="37" fillId="0" borderId="20" xfId="0" applyNumberFormat="1" applyFont="1" applyFill="1" applyBorder="1" applyAlignment="1">
      <alignment horizontal="right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4" fontId="0" fillId="0" borderId="84" xfId="0" applyNumberFormat="1" applyFill="1" applyBorder="1" applyAlignment="1">
      <alignment horizontal="right" vertical="center"/>
    </xf>
    <xf numFmtId="4" fontId="0" fillId="0" borderId="63" xfId="0" applyNumberFormat="1" applyFill="1" applyBorder="1" applyAlignment="1">
      <alignment horizontal="right" vertical="center"/>
    </xf>
    <xf numFmtId="0" fontId="0" fillId="0" borderId="63" xfId="0" applyBorder="1" applyAlignment="1">
      <alignment horizontal="left" vertical="center" indent="1"/>
    </xf>
    <xf numFmtId="4" fontId="0" fillId="0" borderId="85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4" fontId="0" fillId="0" borderId="86" xfId="0" applyNumberFormat="1" applyFill="1" applyBorder="1" applyAlignment="1">
      <alignment horizontal="right" vertical="center"/>
    </xf>
    <xf numFmtId="4" fontId="0" fillId="0" borderId="71" xfId="0" applyNumberForma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87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4" fontId="0" fillId="0" borderId="68" xfId="0" applyNumberFormat="1" applyFill="1" applyBorder="1" applyAlignment="1">
      <alignment horizontal="right" vertical="center"/>
    </xf>
    <xf numFmtId="0" fontId="0" fillId="0" borderId="39" xfId="0" applyBorder="1" applyAlignment="1">
      <alignment horizontal="left" vertical="center" indent="1"/>
    </xf>
    <xf numFmtId="4" fontId="36" fillId="0" borderId="0" xfId="0" applyNumberFormat="1" applyFont="1" applyAlignment="1">
      <alignment vertical="center"/>
    </xf>
    <xf numFmtId="0" fontId="0" fillId="0" borderId="39" xfId="0" applyFont="1" applyBorder="1" applyAlignment="1">
      <alignment horizontal="left" vertical="center" indent="1"/>
    </xf>
    <xf numFmtId="4" fontId="0" fillId="0" borderId="88" xfId="0" applyNumberFormat="1" applyFon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0" fontId="0" fillId="0" borderId="89" xfId="0" applyFont="1" applyBorder="1" applyAlignment="1">
      <alignment horizontal="left" vertical="center" indent="1"/>
    </xf>
    <xf numFmtId="4" fontId="0" fillId="0" borderId="90" xfId="0" applyNumberFormat="1" applyFill="1" applyBorder="1" applyAlignment="1">
      <alignment horizontal="right" vertical="center"/>
    </xf>
    <xf numFmtId="4" fontId="0" fillId="0" borderId="91" xfId="0" applyNumberFormat="1" applyFon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4" fontId="0" fillId="0" borderId="92" xfId="0" applyNumberFormat="1" applyFill="1" applyBorder="1" applyAlignment="1">
      <alignment horizontal="right" vertical="center"/>
    </xf>
    <xf numFmtId="4" fontId="30" fillId="6" borderId="92" xfId="0" applyNumberFormat="1" applyFont="1" applyFill="1" applyBorder="1" applyAlignment="1">
      <alignment horizontal="center"/>
    </xf>
    <xf numFmtId="0" fontId="0" fillId="0" borderId="93" xfId="0" applyFont="1" applyBorder="1" applyAlignment="1">
      <alignment horizontal="left" vertical="center" indent="1"/>
    </xf>
    <xf numFmtId="4" fontId="0" fillId="0" borderId="94" xfId="0" applyNumberFormat="1" applyFill="1" applyBorder="1" applyAlignment="1">
      <alignment horizontal="right" vertical="center"/>
    </xf>
    <xf numFmtId="4" fontId="0" fillId="0" borderId="95" xfId="0" applyNumberFormat="1" applyFont="1" applyFill="1" applyBorder="1" applyAlignment="1">
      <alignment horizontal="right" vertical="center"/>
    </xf>
    <xf numFmtId="4" fontId="38" fillId="0" borderId="26" xfId="0" applyNumberFormat="1" applyFont="1" applyFill="1" applyBorder="1" applyAlignment="1">
      <alignment horizontal="right" vertical="center"/>
    </xf>
    <xf numFmtId="4" fontId="0" fillId="0" borderId="86" xfId="0" applyNumberFormat="1" applyFont="1" applyFill="1" applyBorder="1" applyAlignment="1">
      <alignment horizontal="right" vertical="center"/>
    </xf>
    <xf numFmtId="4" fontId="0" fillId="0" borderId="70" xfId="0" applyNumberFormat="1" applyFont="1" applyFill="1" applyBorder="1" applyAlignment="1">
      <alignment horizontal="right" vertical="center"/>
    </xf>
    <xf numFmtId="4" fontId="36" fillId="7" borderId="75" xfId="0" applyNumberFormat="1" applyFont="1" applyFill="1" applyBorder="1" applyAlignment="1">
      <alignment horizontal="right" vertical="center"/>
    </xf>
    <xf numFmtId="4" fontId="0" fillId="0" borderId="72" xfId="0" applyNumberFormat="1" applyFont="1" applyFill="1" applyBorder="1" applyAlignment="1">
      <alignment horizontal="right" vertical="center"/>
    </xf>
    <xf numFmtId="4" fontId="38" fillId="0" borderId="22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0" fontId="34" fillId="7" borderId="96" xfId="0" applyFont="1" applyFill="1" applyBorder="1" applyAlignment="1">
      <alignment horizontal="left" vertical="center" indent="1"/>
    </xf>
    <xf numFmtId="4" fontId="36" fillId="7" borderId="97" xfId="0" applyNumberFormat="1" applyFont="1" applyFill="1" applyBorder="1" applyAlignment="1">
      <alignment horizontal="right" vertical="center"/>
    </xf>
    <xf numFmtId="4" fontId="36" fillId="7" borderId="78" xfId="0" applyNumberFormat="1" applyFont="1" applyFill="1" applyBorder="1" applyAlignment="1">
      <alignment horizontal="right" vertical="center"/>
    </xf>
    <xf numFmtId="4" fontId="36" fillId="7" borderId="21" xfId="0" applyNumberFormat="1" applyFont="1" applyFill="1" applyBorder="1" applyAlignment="1">
      <alignment horizontal="right" vertical="center"/>
    </xf>
    <xf numFmtId="4" fontId="36" fillId="7" borderId="98" xfId="0" applyNumberFormat="1" applyFont="1" applyFill="1" applyBorder="1" applyAlignment="1">
      <alignment horizontal="right" vertical="center"/>
    </xf>
    <xf numFmtId="0" fontId="33" fillId="0" borderId="99" xfId="0" applyFont="1" applyFill="1" applyBorder="1" applyAlignment="1">
      <alignment horizontal="left" vertical="center"/>
    </xf>
    <xf numFmtId="4" fontId="3" fillId="0" borderId="100" xfId="0" applyNumberFormat="1" applyFont="1" applyFill="1" applyBorder="1" applyAlignment="1">
      <alignment horizontal="right" vertical="center"/>
    </xf>
    <xf numFmtId="4" fontId="3" fillId="0" borderId="101" xfId="0" applyNumberFormat="1" applyFont="1" applyFill="1" applyBorder="1" applyAlignment="1">
      <alignment horizontal="right" vertical="center"/>
    </xf>
    <xf numFmtId="4" fontId="3" fillId="0" borderId="102" xfId="0" applyNumberFormat="1" applyFont="1" applyFill="1" applyBorder="1" applyAlignment="1">
      <alignment horizontal="right" vertical="center"/>
    </xf>
    <xf numFmtId="4" fontId="3" fillId="0" borderId="103" xfId="0" applyNumberFormat="1" applyFont="1" applyFill="1" applyBorder="1" applyAlignment="1">
      <alignment horizontal="right" vertical="center"/>
    </xf>
    <xf numFmtId="0" fontId="30" fillId="0" borderId="104" xfId="0" applyFont="1" applyFill="1" applyBorder="1" applyAlignment="1">
      <alignment horizontal="left" vertical="center" indent="1"/>
    </xf>
    <xf numFmtId="4" fontId="3" fillId="0" borderId="105" xfId="0" applyNumberFormat="1" applyFont="1" applyFill="1" applyBorder="1" applyAlignment="1">
      <alignment horizontal="right" vertical="center"/>
    </xf>
    <xf numFmtId="4" fontId="3" fillId="0" borderId="106" xfId="0" applyNumberFormat="1" applyFont="1" applyFill="1" applyBorder="1" applyAlignment="1">
      <alignment horizontal="right" vertical="center"/>
    </xf>
    <xf numFmtId="4" fontId="3" fillId="0" borderId="107" xfId="0" applyNumberFormat="1" applyFont="1" applyFill="1" applyBorder="1" applyAlignment="1">
      <alignment horizontal="right" vertical="center"/>
    </xf>
    <xf numFmtId="4" fontId="3" fillId="0" borderId="10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3" fillId="6" borderId="109" xfId="0" applyFont="1" applyFill="1" applyBorder="1" applyAlignment="1">
      <alignment horizontal="left" vertical="center"/>
    </xf>
    <xf numFmtId="4" fontId="4" fillId="6" borderId="7" xfId="0" applyNumberFormat="1" applyFont="1" applyFill="1" applyBorder="1" applyAlignment="1">
      <alignment horizontal="right" vertical="center"/>
    </xf>
    <xf numFmtId="4" fontId="4" fillId="6" borderId="51" xfId="0" applyNumberFormat="1" applyFont="1" applyFill="1" applyBorder="1" applyAlignment="1">
      <alignment horizontal="right" vertical="center"/>
    </xf>
    <xf numFmtId="4" fontId="4" fillId="6" borderId="27" xfId="0" applyNumberFormat="1" applyFont="1" applyFill="1" applyBorder="1" applyAlignment="1">
      <alignment horizontal="right" vertical="center"/>
    </xf>
    <xf numFmtId="4" fontId="4" fillId="6" borderId="36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Continuous" vertical="center"/>
    </xf>
    <xf numFmtId="49" fontId="3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1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48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6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9" fillId="0" borderId="0" xfId="0" applyFont="1" applyAlignment="1">
      <alignment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3" fontId="3" fillId="0" borderId="2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3" fontId="3" fillId="0" borderId="2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8" fillId="0" borderId="0" xfId="0" applyFont="1" applyAlignment="1">
      <alignment/>
    </xf>
    <xf numFmtId="0" fontId="50" fillId="0" borderId="0" xfId="0" applyFont="1" applyAlignment="1">
      <alignment/>
    </xf>
    <xf numFmtId="0" fontId="50" fillId="2" borderId="17" xfId="0" applyFont="1" applyFill="1" applyBorder="1" applyAlignment="1">
      <alignment/>
    </xf>
    <xf numFmtId="0" fontId="3" fillId="2" borderId="25" xfId="0" applyFont="1" applyFill="1" applyBorder="1" applyAlignment="1">
      <alignment horizontal="left"/>
    </xf>
    <xf numFmtId="3" fontId="3" fillId="2" borderId="25" xfId="0" applyNumberFormat="1" applyFont="1" applyFill="1" applyBorder="1" applyAlignment="1">
      <alignment horizontal="right"/>
    </xf>
    <xf numFmtId="3" fontId="3" fillId="2" borderId="89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51" fillId="4" borderId="0" xfId="0" applyFont="1" applyFill="1" applyBorder="1" applyAlignment="1">
      <alignment/>
    </xf>
    <xf numFmtId="0" fontId="52" fillId="4" borderId="0" xfId="0" applyFont="1" applyFill="1" applyBorder="1" applyAlignment="1">
      <alignment horizontal="left"/>
    </xf>
    <xf numFmtId="3" fontId="52" fillId="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3" fontId="54" fillId="0" borderId="0" xfId="0" applyNumberFormat="1" applyFont="1" applyAlignment="1">
      <alignment horizontal="left"/>
    </xf>
    <xf numFmtId="0" fontId="3" fillId="2" borderId="47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9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61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14" fontId="0" fillId="0" borderId="32" xfId="0" applyNumberFormat="1" applyFont="1" applyFill="1" applyBorder="1" applyAlignment="1">
      <alignment/>
    </xf>
    <xf numFmtId="0" fontId="3" fillId="2" borderId="48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3" fontId="3" fillId="2" borderId="77" xfId="0" applyNumberFormat="1" applyFont="1" applyFill="1" applyBorder="1" applyAlignment="1">
      <alignment/>
    </xf>
    <xf numFmtId="3" fontId="3" fillId="2" borderId="43" xfId="0" applyNumberFormat="1" applyFont="1" applyFill="1" applyBorder="1" applyAlignment="1">
      <alignment/>
    </xf>
    <xf numFmtId="3" fontId="3" fillId="2" borderId="49" xfId="0" applyNumberFormat="1" applyFont="1" applyFill="1" applyBorder="1" applyAlignment="1">
      <alignment/>
    </xf>
    <xf numFmtId="14" fontId="3" fillId="2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2" borderId="4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3" fontId="3" fillId="2" borderId="51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3" fillId="2" borderId="43" xfId="0" applyFont="1" applyFill="1" applyBorder="1" applyAlignment="1">
      <alignment/>
    </xf>
    <xf numFmtId="3" fontId="3" fillId="2" borderId="4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14" fontId="0" fillId="0" borderId="5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0" fillId="0" borderId="33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14" fontId="0" fillId="0" borderId="11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1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4" fontId="0" fillId="0" borderId="33" xfId="0" applyNumberFormat="1" applyFont="1" applyFill="1" applyBorder="1" applyAlignment="1">
      <alignment/>
    </xf>
    <xf numFmtId="0" fontId="3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63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64" xfId="0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4"/>
    </xf>
    <xf numFmtId="0" fontId="16" fillId="0" borderId="0" xfId="0" applyFont="1" applyAlignment="1">
      <alignment/>
    </xf>
    <xf numFmtId="4" fontId="8" fillId="0" borderId="0" xfId="0" applyNumberFormat="1" applyFont="1" applyAlignment="1">
      <alignment horizontal="left" vertical="center"/>
    </xf>
    <xf numFmtId="4" fontId="0" fillId="0" borderId="0" xfId="0" applyNumberFormat="1" applyFill="1" applyBorder="1" applyAlignment="1">
      <alignment/>
    </xf>
    <xf numFmtId="4" fontId="0" fillId="0" borderId="0" xfId="20" applyNumberFormat="1" applyFill="1" applyBorder="1">
      <alignment/>
      <protection/>
    </xf>
    <xf numFmtId="0" fontId="10" fillId="0" borderId="0" xfId="20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4" fontId="3" fillId="0" borderId="0" xfId="20" applyNumberFormat="1" applyFont="1" applyFill="1" applyBorder="1" applyAlignment="1">
      <alignment horizontal="center"/>
      <protection/>
    </xf>
    <xf numFmtId="4" fontId="15" fillId="0" borderId="0" xfId="20" applyNumberFormat="1" applyFont="1" applyFill="1" applyBorder="1" applyAlignment="1">
      <alignment horizontal="center"/>
      <protection/>
    </xf>
    <xf numFmtId="4" fontId="0" fillId="0" borderId="0" xfId="0" applyNumberFormat="1" applyFill="1" applyAlignment="1">
      <alignment/>
    </xf>
    <xf numFmtId="4" fontId="0" fillId="0" borderId="0" xfId="20" applyNumberFormat="1" applyFill="1">
      <alignment/>
      <protection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0" fillId="0" borderId="0" xfId="15" applyNumberFormat="1" applyFont="1" applyBorder="1" applyAlignment="1">
      <alignment horizontal="right"/>
    </xf>
    <xf numFmtId="3" fontId="10" fillId="0" borderId="0" xfId="15" applyNumberFormat="1" applyFont="1" applyFill="1" applyBorder="1" applyAlignment="1">
      <alignment horizontal="right"/>
    </xf>
    <xf numFmtId="3" fontId="10" fillId="0" borderId="0" xfId="23" applyNumberFormat="1" applyFont="1" applyFill="1" applyBorder="1">
      <alignment/>
      <protection/>
    </xf>
    <xf numFmtId="3" fontId="2" fillId="0" borderId="0" xfId="23" applyNumberFormat="1" applyFont="1" applyFill="1" applyBorder="1">
      <alignment/>
      <protection/>
    </xf>
    <xf numFmtId="0" fontId="5" fillId="0" borderId="0" xfId="23" applyFont="1" applyFill="1">
      <alignment/>
      <protection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3" fontId="10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2" fillId="2" borderId="40" xfId="23" applyNumberFormat="1" applyFont="1" applyFill="1" applyBorder="1">
      <alignment/>
      <protection/>
    </xf>
    <xf numFmtId="3" fontId="10" fillId="0" borderId="0" xfId="0" applyNumberFormat="1" applyFont="1" applyAlignment="1">
      <alignment horizontal="right"/>
    </xf>
    <xf numFmtId="4" fontId="32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indent="1"/>
    </xf>
    <xf numFmtId="4" fontId="40" fillId="0" borderId="0" xfId="0" applyNumberFormat="1" applyFont="1" applyFill="1" applyBorder="1" applyAlignment="1">
      <alignment/>
    </xf>
    <xf numFmtId="4" fontId="41" fillId="0" borderId="2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 vertical="center" indent="1"/>
    </xf>
    <xf numFmtId="0" fontId="44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6"/>
    </xf>
    <xf numFmtId="4" fontId="41" fillId="0" borderId="2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4" fontId="32" fillId="0" borderId="0" xfId="0" applyNumberFormat="1" applyFont="1" applyFill="1" applyBorder="1" applyAlignment="1">
      <alignment horizontal="right"/>
    </xf>
    <xf numFmtId="49" fontId="30" fillId="0" borderId="48" xfId="0" applyNumberFormat="1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left" vertical="center"/>
    </xf>
    <xf numFmtId="4" fontId="30" fillId="0" borderId="49" xfId="0" applyNumberFormat="1" applyFont="1" applyFill="1" applyBorder="1" applyAlignment="1">
      <alignment horizontal="center" vertical="center"/>
    </xf>
    <xf numFmtId="4" fontId="41" fillId="0" borderId="77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49" fontId="30" fillId="0" borderId="48" xfId="0" applyNumberFormat="1" applyFont="1" applyFill="1" applyBorder="1" applyAlignment="1">
      <alignment horizontal="center"/>
    </xf>
    <xf numFmtId="0" fontId="18" fillId="0" borderId="49" xfId="0" applyFont="1" applyFill="1" applyBorder="1" applyAlignment="1">
      <alignment horizontal="left" vertical="center" indent="1"/>
    </xf>
    <xf numFmtId="4" fontId="30" fillId="0" borderId="49" xfId="0" applyNumberFormat="1" applyFont="1" applyFill="1" applyBorder="1" applyAlignment="1">
      <alignment/>
    </xf>
    <xf numFmtId="4" fontId="41" fillId="0" borderId="77" xfId="0" applyNumberFormat="1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5" fillId="0" borderId="18" xfId="26" applyFont="1" applyBorder="1">
      <alignment/>
      <protection/>
    </xf>
    <xf numFmtId="0" fontId="5" fillId="0" borderId="20" xfId="26" applyFont="1" applyBorder="1">
      <alignment/>
      <protection/>
    </xf>
    <xf numFmtId="3" fontId="5" fillId="0" borderId="63" xfId="26" applyNumberFormat="1" applyFont="1" applyBorder="1">
      <alignment/>
      <protection/>
    </xf>
    <xf numFmtId="0" fontId="5" fillId="0" borderId="18" xfId="26" applyFont="1" applyFill="1" applyBorder="1">
      <alignment/>
      <protection/>
    </xf>
    <xf numFmtId="0" fontId="5" fillId="0" borderId="20" xfId="26" applyFont="1" applyFill="1" applyBorder="1">
      <alignment/>
      <protection/>
    </xf>
    <xf numFmtId="3" fontId="5" fillId="0" borderId="20" xfId="26" applyNumberFormat="1" applyFont="1" applyBorder="1">
      <alignment/>
      <protection/>
    </xf>
    <xf numFmtId="3" fontId="5" fillId="0" borderId="63" xfId="26" applyNumberFormat="1" applyFont="1" applyFill="1" applyBorder="1">
      <alignment/>
      <protection/>
    </xf>
    <xf numFmtId="0" fontId="5" fillId="0" borderId="19" xfId="26" applyFont="1" applyBorder="1">
      <alignment/>
      <protection/>
    </xf>
    <xf numFmtId="0" fontId="5" fillId="0" borderId="30" xfId="26" applyFont="1" applyBorder="1">
      <alignment/>
      <protection/>
    </xf>
    <xf numFmtId="3" fontId="5" fillId="0" borderId="68" xfId="26" applyNumberFormat="1" applyFont="1" applyBorder="1">
      <alignment/>
      <protection/>
    </xf>
    <xf numFmtId="0" fontId="14" fillId="0" borderId="56" xfId="0" applyFont="1" applyBorder="1" applyAlignment="1">
      <alignment/>
    </xf>
    <xf numFmtId="0" fontId="5" fillId="0" borderId="16" xfId="26" applyFont="1" applyBorder="1">
      <alignment/>
      <protection/>
    </xf>
    <xf numFmtId="0" fontId="5" fillId="0" borderId="26" xfId="26" applyFont="1" applyBorder="1">
      <alignment/>
      <protection/>
    </xf>
    <xf numFmtId="3" fontId="5" fillId="0" borderId="67" xfId="26" applyNumberFormat="1" applyFont="1" applyBorder="1">
      <alignment/>
      <protection/>
    </xf>
    <xf numFmtId="0" fontId="5" fillId="0" borderId="17" xfId="26" applyFont="1" applyFill="1" applyBorder="1">
      <alignment/>
      <protection/>
    </xf>
    <xf numFmtId="0" fontId="5" fillId="0" borderId="25" xfId="26" applyFont="1" applyFill="1" applyBorder="1">
      <alignment/>
      <protection/>
    </xf>
    <xf numFmtId="3" fontId="5" fillId="0" borderId="64" xfId="26" applyNumberFormat="1" applyFont="1" applyBorder="1">
      <alignment/>
      <protection/>
    </xf>
    <xf numFmtId="0" fontId="5" fillId="0" borderId="0" xfId="26" applyFont="1" applyBorder="1">
      <alignment/>
      <protection/>
    </xf>
    <xf numFmtId="3" fontId="5" fillId="0" borderId="0" xfId="26" applyNumberFormat="1" applyFont="1" applyBorder="1">
      <alignment/>
      <protection/>
    </xf>
    <xf numFmtId="3" fontId="14" fillId="0" borderId="0" xfId="0" applyNumberFormat="1" applyFont="1" applyAlignment="1">
      <alignment/>
    </xf>
    <xf numFmtId="3" fontId="0" fillId="0" borderId="0" xfId="20" applyNumberFormat="1" applyFill="1">
      <alignment/>
      <protection/>
    </xf>
    <xf numFmtId="4" fontId="0" fillId="0" borderId="0" xfId="20" applyNumberFormat="1" applyFont="1" applyFill="1">
      <alignment/>
      <protection/>
    </xf>
    <xf numFmtId="0" fontId="2" fillId="0" borderId="0" xfId="26" applyFont="1" applyAlignment="1">
      <alignment horizontal="center"/>
      <protection/>
    </xf>
    <xf numFmtId="0" fontId="8" fillId="0" borderId="45" xfId="20" applyFont="1" applyBorder="1" applyAlignment="1">
      <alignment horizontal="left"/>
      <protection/>
    </xf>
    <xf numFmtId="0" fontId="8" fillId="0" borderId="7" xfId="20" applyFont="1" applyBorder="1" applyAlignment="1">
      <alignment horizontal="left"/>
      <protection/>
    </xf>
    <xf numFmtId="0" fontId="8" fillId="0" borderId="11" xfId="20" applyFont="1" applyBorder="1" applyAlignment="1">
      <alignment horizontal="left"/>
      <protection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5" fillId="0" borderId="16" xfId="26" applyFont="1" applyFill="1" applyBorder="1">
      <alignment/>
      <protection/>
    </xf>
    <xf numFmtId="0" fontId="5" fillId="0" borderId="26" xfId="26" applyFont="1" applyFill="1" applyBorder="1">
      <alignment/>
      <protection/>
    </xf>
    <xf numFmtId="3" fontId="5" fillId="0" borderId="67" xfId="26" applyNumberFormat="1" applyFont="1" applyFill="1" applyBorder="1">
      <alignment/>
      <protection/>
    </xf>
    <xf numFmtId="0" fontId="2" fillId="8" borderId="42" xfId="26" applyFont="1" applyFill="1" applyBorder="1">
      <alignment/>
      <protection/>
    </xf>
    <xf numFmtId="0" fontId="2" fillId="8" borderId="80" xfId="26" applyFont="1" applyFill="1" applyBorder="1">
      <alignment/>
      <protection/>
    </xf>
    <xf numFmtId="3" fontId="2" fillId="8" borderId="112" xfId="26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/>
    </xf>
    <xf numFmtId="4" fontId="59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0" fillId="2" borderId="113" xfId="0" applyNumberFormat="1" applyFont="1" applyFill="1" applyBorder="1" applyAlignment="1">
      <alignment horizontal="center"/>
    </xf>
    <xf numFmtId="3" fontId="60" fillId="2" borderId="114" xfId="0" applyNumberFormat="1" applyFont="1" applyFill="1" applyBorder="1" applyAlignment="1">
      <alignment horizontal="center"/>
    </xf>
    <xf numFmtId="3" fontId="60" fillId="2" borderId="80" xfId="0" applyNumberFormat="1" applyFont="1" applyFill="1" applyBorder="1" applyAlignment="1">
      <alignment horizontal="center" wrapText="1" shrinkToFit="1"/>
    </xf>
    <xf numFmtId="3" fontId="60" fillId="2" borderId="80" xfId="0" applyNumberFormat="1" applyFont="1" applyFill="1" applyBorder="1" applyAlignment="1">
      <alignment horizontal="center"/>
    </xf>
    <xf numFmtId="3" fontId="60" fillId="2" borderId="73" xfId="0" applyNumberFormat="1" applyFont="1" applyFill="1" applyBorder="1" applyAlignment="1">
      <alignment horizontal="center" wrapText="1"/>
    </xf>
    <xf numFmtId="3" fontId="60" fillId="2" borderId="48" xfId="0" applyNumberFormat="1" applyFont="1" applyFill="1" applyBorder="1" applyAlignment="1">
      <alignment horizontal="center"/>
    </xf>
    <xf numFmtId="3" fontId="60" fillId="2" borderId="80" xfId="0" applyNumberFormat="1" applyFont="1" applyFill="1" applyBorder="1" applyAlignment="1">
      <alignment horizontal="center" wrapText="1"/>
    </xf>
    <xf numFmtId="3" fontId="60" fillId="2" borderId="73" xfId="0" applyNumberFormat="1" applyFont="1" applyFill="1" applyBorder="1" applyAlignment="1">
      <alignment horizontal="center"/>
    </xf>
    <xf numFmtId="3" fontId="11" fillId="2" borderId="69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7" fillId="0" borderId="115" xfId="0" applyNumberFormat="1" applyFont="1" applyFill="1" applyBorder="1" applyAlignment="1">
      <alignment/>
    </xf>
    <xf numFmtId="3" fontId="17" fillId="0" borderId="116" xfId="0" applyNumberFormat="1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3" fontId="17" fillId="0" borderId="50" xfId="0" applyNumberFormat="1" applyFont="1" applyFill="1" applyBorder="1" applyAlignment="1">
      <alignment/>
    </xf>
    <xf numFmtId="3" fontId="17" fillId="0" borderId="67" xfId="0" applyNumberFormat="1" applyFont="1" applyFill="1" applyBorder="1" applyAlignment="1">
      <alignment/>
    </xf>
    <xf numFmtId="3" fontId="17" fillId="0" borderId="9" xfId="0" applyNumberFormat="1" applyFont="1" applyFill="1" applyBorder="1" applyAlignment="1">
      <alignment/>
    </xf>
    <xf numFmtId="3" fontId="17" fillId="0" borderId="117" xfId="0" applyNumberFormat="1" applyFont="1" applyFill="1" applyBorder="1" applyAlignment="1">
      <alignment/>
    </xf>
    <xf numFmtId="3" fontId="17" fillId="0" borderId="118" xfId="0" applyNumberFormat="1" applyFont="1" applyFill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7" fillId="0" borderId="63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119" xfId="0" applyNumberFormat="1" applyFont="1" applyFill="1" applyBorder="1" applyAlignment="1">
      <alignment/>
    </xf>
    <xf numFmtId="3" fontId="17" fillId="0" borderId="12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39" xfId="0" applyNumberFormat="1" applyFont="1" applyFill="1" applyBorder="1" applyAlignment="1">
      <alignment/>
    </xf>
    <xf numFmtId="3" fontId="17" fillId="0" borderId="45" xfId="0" applyNumberFormat="1" applyFont="1" applyFill="1" applyBorder="1" applyAlignment="1">
      <alignment/>
    </xf>
    <xf numFmtId="3" fontId="17" fillId="0" borderId="66" xfId="0" applyNumberFormat="1" applyFont="1" applyFill="1" applyBorder="1" applyAlignment="1">
      <alignment/>
    </xf>
    <xf numFmtId="3" fontId="11" fillId="2" borderId="43" xfId="0" applyNumberFormat="1" applyFont="1" applyFill="1" applyBorder="1" applyAlignment="1">
      <alignment/>
    </xf>
    <xf numFmtId="3" fontId="11" fillId="2" borderId="76" xfId="0" applyNumberFormat="1" applyFont="1" applyFill="1" applyBorder="1" applyAlignment="1">
      <alignment/>
    </xf>
    <xf numFmtId="3" fontId="11" fillId="2" borderId="80" xfId="0" applyNumberFormat="1" applyFont="1" applyFill="1" applyBorder="1" applyAlignment="1">
      <alignment/>
    </xf>
    <xf numFmtId="4" fontId="11" fillId="2" borderId="112" xfId="0" applyNumberFormat="1" applyFont="1" applyFill="1" applyBorder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3" fontId="17" fillId="0" borderId="18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3" fontId="17" fillId="0" borderId="49" xfId="0" applyNumberFormat="1" applyFont="1" applyFill="1" applyBorder="1" applyAlignment="1">
      <alignment/>
    </xf>
    <xf numFmtId="4" fontId="17" fillId="0" borderId="77" xfId="0" applyNumberFormat="1" applyFont="1" applyFill="1" applyBorder="1" applyAlignment="1">
      <alignment/>
    </xf>
    <xf numFmtId="3" fontId="59" fillId="0" borderId="48" xfId="0" applyNumberFormat="1" applyFont="1" applyFill="1" applyBorder="1" applyAlignment="1">
      <alignment/>
    </xf>
    <xf numFmtId="3" fontId="11" fillId="2" borderId="73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 wrapText="1"/>
    </xf>
    <xf numFmtId="3" fontId="17" fillId="0" borderId="16" xfId="0" applyNumberFormat="1" applyFont="1" applyFill="1" applyBorder="1" applyAlignment="1">
      <alignment/>
    </xf>
    <xf numFmtId="4" fontId="17" fillId="0" borderId="15" xfId="0" applyNumberFormat="1" applyFont="1" applyFill="1" applyBorder="1" applyAlignment="1">
      <alignment/>
    </xf>
    <xf numFmtId="3" fontId="17" fillId="0" borderId="110" xfId="0" applyNumberFormat="1" applyFont="1" applyFill="1" applyBorder="1" applyAlignment="1">
      <alignment/>
    </xf>
    <xf numFmtId="4" fontId="17" fillId="0" borderId="6" xfId="0" applyNumberFormat="1" applyFont="1" applyFill="1" applyBorder="1" applyAlignment="1">
      <alignment/>
    </xf>
    <xf numFmtId="3" fontId="11" fillId="2" borderId="42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48" xfId="0" applyFont="1" applyBorder="1" applyAlignment="1">
      <alignment/>
    </xf>
    <xf numFmtId="0" fontId="11" fillId="0" borderId="77" xfId="0" applyFont="1" applyBorder="1" applyAlignment="1">
      <alignment/>
    </xf>
    <xf numFmtId="3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60" xfId="0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93" xfId="0" applyFont="1" applyFill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43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3" fontId="2" fillId="0" borderId="0" xfId="15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6" fillId="0" borderId="0" xfId="22" applyNumberFormat="1" applyFont="1" applyFill="1">
      <alignment/>
      <protection/>
    </xf>
    <xf numFmtId="3" fontId="21" fillId="0" borderId="0" xfId="22" applyNumberFormat="1" applyFont="1" applyFill="1">
      <alignment/>
      <protection/>
    </xf>
    <xf numFmtId="49" fontId="2" fillId="0" borderId="51" xfId="21" applyNumberFormat="1" applyFont="1" applyBorder="1" applyAlignment="1">
      <alignment horizontal="left"/>
      <protection/>
    </xf>
    <xf numFmtId="0" fontId="2" fillId="0" borderId="5" xfId="20" applyFont="1" applyBorder="1" applyAlignment="1">
      <alignment horizontal="left"/>
      <protection/>
    </xf>
    <xf numFmtId="0" fontId="8" fillId="0" borderId="0" xfId="0" applyFont="1" applyFill="1" applyAlignment="1">
      <alignment horizontal="left" indent="3"/>
    </xf>
    <xf numFmtId="4" fontId="39" fillId="0" borderId="0" xfId="0" applyNumberFormat="1" applyFont="1" applyFill="1" applyBorder="1" applyAlignment="1">
      <alignment horizontal="center" vertical="center"/>
    </xf>
    <xf numFmtId="0" fontId="8" fillId="0" borderId="0" xfId="26" applyFont="1" applyAlignment="1">
      <alignment horizontal="center"/>
      <protection/>
    </xf>
    <xf numFmtId="0" fontId="7" fillId="6" borderId="31" xfId="0" applyFont="1" applyFill="1" applyBorder="1" applyAlignment="1">
      <alignment horizontal="center" vertical="center"/>
    </xf>
    <xf numFmtId="0" fontId="7" fillId="6" borderId="89" xfId="0" applyFont="1" applyFill="1" applyBorder="1" applyAlignment="1">
      <alignment horizontal="center" vertical="center"/>
    </xf>
    <xf numFmtId="4" fontId="7" fillId="6" borderId="97" xfId="0" applyNumberFormat="1" applyFont="1" applyFill="1" applyBorder="1" applyAlignment="1">
      <alignment horizontal="center" vertical="center"/>
    </xf>
    <xf numFmtId="4" fontId="7" fillId="6" borderId="121" xfId="0" applyNumberFormat="1" applyFont="1" applyFill="1" applyBorder="1" applyAlignment="1">
      <alignment horizontal="center" vertical="center"/>
    </xf>
    <xf numFmtId="4" fontId="33" fillId="6" borderId="122" xfId="0" applyNumberFormat="1" applyFont="1" applyFill="1" applyBorder="1" applyAlignment="1">
      <alignment horizontal="center"/>
    </xf>
    <xf numFmtId="4" fontId="33" fillId="6" borderId="28" xfId="0" applyNumberFormat="1" applyFont="1" applyFill="1" applyBorder="1" applyAlignment="1">
      <alignment horizontal="center"/>
    </xf>
    <xf numFmtId="4" fontId="33" fillId="6" borderId="62" xfId="0" applyNumberFormat="1" applyFont="1" applyFill="1" applyBorder="1" applyAlignment="1">
      <alignment horizontal="center"/>
    </xf>
    <xf numFmtId="4" fontId="33" fillId="6" borderId="123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Hárok2" xfId="21"/>
    <cellStyle name="normálne_Hárok3" xfId="22"/>
    <cellStyle name="normálne_Hárok4" xfId="23"/>
    <cellStyle name="normálne_Hárok5" xfId="24"/>
    <cellStyle name="normálne_Hárok6" xfId="25"/>
    <cellStyle name="normální_List1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331"/>
  <sheetViews>
    <sheetView workbookViewId="0" topLeftCell="A1">
      <selection activeCell="C93" sqref="C93"/>
    </sheetView>
  </sheetViews>
  <sheetFormatPr defaultColWidth="9.00390625" defaultRowHeight="12.75"/>
  <cols>
    <col min="1" max="2" width="4.00390625" style="0" customWidth="1"/>
    <col min="3" max="3" width="49.125" style="0" customWidth="1"/>
    <col min="4" max="5" width="20.00390625" style="0" customWidth="1"/>
    <col min="6" max="6" width="16.00390625" style="749" customWidth="1"/>
    <col min="7" max="7" width="10.75390625" style="0" customWidth="1"/>
  </cols>
  <sheetData>
    <row r="1" spans="3:7" ht="12.75">
      <c r="C1" s="1"/>
      <c r="D1" s="2"/>
      <c r="E1" s="2"/>
      <c r="F1" s="744"/>
      <c r="G1" s="2"/>
    </row>
    <row r="2" spans="3:7" ht="12.75">
      <c r="C2" s="1"/>
      <c r="D2" s="2"/>
      <c r="E2" s="2"/>
      <c r="F2" s="744"/>
      <c r="G2" s="2"/>
    </row>
    <row r="3" spans="3:7" ht="23.25">
      <c r="C3" s="157" t="s">
        <v>448</v>
      </c>
      <c r="D3" s="2"/>
      <c r="E3" s="2"/>
      <c r="F3" s="744"/>
      <c r="G3" s="2"/>
    </row>
    <row r="4" spans="3:7" ht="15.75">
      <c r="C4" s="4"/>
      <c r="D4" s="286"/>
      <c r="E4" s="286" t="s">
        <v>0</v>
      </c>
      <c r="F4" s="745"/>
      <c r="G4" s="2"/>
    </row>
    <row r="5" spans="3:7" ht="13.5" thickBot="1">
      <c r="C5" s="1"/>
      <c r="D5" s="5"/>
      <c r="E5" s="5" t="s">
        <v>1</v>
      </c>
      <c r="F5" s="746"/>
      <c r="G5" s="2"/>
    </row>
    <row r="6" spans="3:7" ht="18">
      <c r="C6" s="180"/>
      <c r="D6" s="181" t="s">
        <v>431</v>
      </c>
      <c r="E6" s="181" t="s">
        <v>503</v>
      </c>
      <c r="F6" s="747"/>
      <c r="G6" s="6"/>
    </row>
    <row r="7" spans="3:7" ht="18">
      <c r="C7" s="182" t="s">
        <v>3</v>
      </c>
      <c r="D7" s="183" t="s">
        <v>432</v>
      </c>
      <c r="E7" s="183" t="s">
        <v>81</v>
      </c>
      <c r="F7" s="748"/>
      <c r="G7" s="6"/>
    </row>
    <row r="8" spans="3:6" ht="18.75" thickBot="1">
      <c r="C8" s="182"/>
      <c r="D8" s="183">
        <v>2006</v>
      </c>
      <c r="E8" s="183" t="s">
        <v>504</v>
      </c>
      <c r="F8" s="743"/>
    </row>
    <row r="9" spans="3:6" ht="19.5" thickBot="1">
      <c r="C9" s="217" t="s">
        <v>6</v>
      </c>
      <c r="D9" s="211">
        <f>SUM(D11:D13)</f>
        <v>685726</v>
      </c>
      <c r="E9" s="211">
        <f>SUM(E11:E13)</f>
        <v>635606</v>
      </c>
      <c r="F9" s="743"/>
    </row>
    <row r="10" spans="3:6" ht="15.75">
      <c r="C10" s="7"/>
      <c r="D10" s="53"/>
      <c r="E10" s="53"/>
      <c r="F10" s="743"/>
    </row>
    <row r="11" spans="3:6" ht="15">
      <c r="C11" s="8" t="s">
        <v>7</v>
      </c>
      <c r="D11" s="118">
        <v>524492</v>
      </c>
      <c r="E11" s="118">
        <v>479109</v>
      </c>
      <c r="F11" s="743"/>
    </row>
    <row r="12" spans="3:6" ht="15">
      <c r="C12" s="8" t="s">
        <v>8</v>
      </c>
      <c r="D12" s="119">
        <v>137234</v>
      </c>
      <c r="E12" s="119">
        <v>126521</v>
      </c>
      <c r="F12" s="743"/>
    </row>
    <row r="13" spans="3:6" ht="15">
      <c r="C13" s="8" t="s">
        <v>9</v>
      </c>
      <c r="D13" s="119">
        <v>24000</v>
      </c>
      <c r="E13" s="119">
        <f>1290+460+210+759+5676+408+21173</f>
        <v>29976</v>
      </c>
      <c r="F13" s="743"/>
    </row>
    <row r="14" spans="3:6" ht="16.5" thickBot="1">
      <c r="C14" s="9"/>
      <c r="D14" s="120"/>
      <c r="E14" s="120"/>
      <c r="F14" s="743"/>
    </row>
    <row r="15" spans="3:6" ht="19.5" thickBot="1">
      <c r="C15" s="217" t="s">
        <v>10</v>
      </c>
      <c r="D15" s="212">
        <f>SUM(D17:D21)</f>
        <v>608701</v>
      </c>
      <c r="E15" s="212">
        <f>SUM(E17:E21)</f>
        <v>797803</v>
      </c>
      <c r="F15" s="743"/>
    </row>
    <row r="16" spans="3:6" ht="15.75">
      <c r="C16" s="10"/>
      <c r="D16" s="53"/>
      <c r="E16" s="53"/>
      <c r="F16" s="743"/>
    </row>
    <row r="17" spans="3:6" ht="15">
      <c r="C17" s="8" t="s">
        <v>11</v>
      </c>
      <c r="D17" s="219">
        <v>18000</v>
      </c>
      <c r="E17" s="219">
        <f>2184+9118</f>
        <v>11302</v>
      </c>
      <c r="F17" s="743"/>
    </row>
    <row r="18" spans="3:6" ht="15">
      <c r="C18" s="8" t="s">
        <v>12</v>
      </c>
      <c r="D18" s="119">
        <v>395937</v>
      </c>
      <c r="E18" s="119">
        <f>3122+25020+5652+19544+479352</f>
        <v>532690</v>
      </c>
      <c r="F18" s="743"/>
    </row>
    <row r="19" spans="3:6" ht="15">
      <c r="C19" s="8" t="s">
        <v>13</v>
      </c>
      <c r="D19" s="119">
        <v>173814</v>
      </c>
      <c r="E19" s="119">
        <f>779797-35756-193-5075-532372</f>
        <v>206401</v>
      </c>
      <c r="F19" s="743"/>
    </row>
    <row r="20" spans="3:6" ht="15">
      <c r="C20" s="8" t="s">
        <v>14</v>
      </c>
      <c r="D20" s="119">
        <v>2200</v>
      </c>
      <c r="E20" s="119">
        <v>2252</v>
      </c>
      <c r="F20" s="743"/>
    </row>
    <row r="21" spans="3:6" ht="15">
      <c r="C21" s="8" t="s">
        <v>15</v>
      </c>
      <c r="D21" s="119">
        <v>18750</v>
      </c>
      <c r="E21" s="119">
        <f>1533+89+4829+6144+32563</f>
        <v>45158</v>
      </c>
      <c r="F21" s="743"/>
    </row>
    <row r="22" spans="3:6" ht="15">
      <c r="C22" s="8"/>
      <c r="D22" s="119"/>
      <c r="E22" s="119"/>
      <c r="F22" s="743"/>
    </row>
    <row r="23" spans="3:6" ht="18">
      <c r="C23" s="218" t="s">
        <v>16</v>
      </c>
      <c r="D23" s="119">
        <v>205191</v>
      </c>
      <c r="E23" s="119">
        <f>1941+223085+3672+1369+4991</f>
        <v>235058</v>
      </c>
      <c r="F23" s="743"/>
    </row>
    <row r="24" spans="3:6" ht="18">
      <c r="C24" s="218" t="s">
        <v>17</v>
      </c>
      <c r="D24" s="119">
        <v>55257</v>
      </c>
      <c r="E24" s="119">
        <f>35756+193</f>
        <v>35949</v>
      </c>
      <c r="F24" s="743"/>
    </row>
    <row r="25" spans="3:6" ht="18">
      <c r="C25" s="819" t="s">
        <v>490</v>
      </c>
      <c r="D25" s="119">
        <v>256327</v>
      </c>
      <c r="E25" s="119">
        <v>315102</v>
      </c>
      <c r="F25" s="743"/>
    </row>
    <row r="26" spans="3:6" ht="18">
      <c r="C26" s="819" t="s">
        <v>491</v>
      </c>
      <c r="D26" s="119">
        <v>478762</v>
      </c>
      <c r="E26" s="119">
        <v>532372</v>
      </c>
      <c r="F26" s="743"/>
    </row>
    <row r="27" spans="3:6" ht="18">
      <c r="C27" s="817" t="s">
        <v>831</v>
      </c>
      <c r="D27" s="119">
        <v>0</v>
      </c>
      <c r="E27" s="119">
        <f>6005+5075</f>
        <v>11080</v>
      </c>
      <c r="F27" s="743"/>
    </row>
    <row r="28" spans="3:6" ht="18">
      <c r="C28" s="218" t="s">
        <v>18</v>
      </c>
      <c r="D28" s="119">
        <v>228809</v>
      </c>
      <c r="E28" s="119">
        <f>138966+89844</f>
        <v>228810</v>
      </c>
      <c r="F28" s="743"/>
    </row>
    <row r="29" spans="3:6" ht="18.75" thickBot="1">
      <c r="C29" s="218" t="s">
        <v>19</v>
      </c>
      <c r="D29" s="119">
        <v>51515</v>
      </c>
      <c r="E29" s="119">
        <v>10009</v>
      </c>
      <c r="F29" s="743"/>
    </row>
    <row r="30" spans="3:6" ht="18.75" thickBot="1">
      <c r="C30" s="209" t="s">
        <v>1097</v>
      </c>
      <c r="D30" s="818"/>
      <c r="E30" s="208">
        <f>príjmy!F38+príjmy!F47</f>
        <v>343026</v>
      </c>
      <c r="F30" s="743"/>
    </row>
    <row r="31" spans="3:6" ht="18.75" thickBot="1">
      <c r="C31" s="213" t="s">
        <v>21</v>
      </c>
      <c r="D31" s="214">
        <f>D29+D28+D26+D25+D24+D23+D21+D20+D19+D18+D17+D13+D12+D11</f>
        <v>2570288</v>
      </c>
      <c r="E31" s="214">
        <f>príjmy!F55</f>
        <v>3144815</v>
      </c>
      <c r="F31" s="743"/>
    </row>
    <row r="32" spans="3:6" ht="15">
      <c r="C32" s="10" t="s">
        <v>22</v>
      </c>
      <c r="D32" s="118">
        <v>702683</v>
      </c>
      <c r="E32" s="118">
        <f>príjmy!F56</f>
        <v>987143</v>
      </c>
      <c r="F32" s="743"/>
    </row>
    <row r="33" spans="3:6" ht="15">
      <c r="C33" s="8" t="s">
        <v>23</v>
      </c>
      <c r="D33" s="119">
        <f>príjmy!E39</f>
        <v>1587281</v>
      </c>
      <c r="E33" s="119">
        <f>príjmy!F57</f>
        <v>1918853</v>
      </c>
      <c r="F33" s="743"/>
    </row>
    <row r="34" spans="3:6" ht="15.75" thickBot="1">
      <c r="C34" s="12" t="s">
        <v>24</v>
      </c>
      <c r="D34" s="121">
        <f>príjmy!E54</f>
        <v>280324</v>
      </c>
      <c r="E34" s="121">
        <v>238819</v>
      </c>
      <c r="F34" s="743"/>
    </row>
    <row r="35" spans="3:6" ht="18.75" thickBot="1">
      <c r="C35" s="213" t="s">
        <v>25</v>
      </c>
      <c r="D35" s="214">
        <f>SUM(D36:D38)</f>
        <v>2570288</v>
      </c>
      <c r="E35" s="214">
        <f>'výdavky '!O152</f>
        <v>2834827</v>
      </c>
      <c r="F35" s="743"/>
    </row>
    <row r="36" spans="3:7" ht="15">
      <c r="C36" s="10" t="s">
        <v>22</v>
      </c>
      <c r="D36" s="118">
        <f>'výdavky '!N151</f>
        <v>549534</v>
      </c>
      <c r="E36" s="118">
        <f>'výdavky '!N152</f>
        <v>500257</v>
      </c>
      <c r="F36" s="743"/>
      <c r="G36" s="11"/>
    </row>
    <row r="37" spans="3:7" ht="15">
      <c r="C37" s="8" t="s">
        <v>23</v>
      </c>
      <c r="D37" s="122">
        <f>SUM('výdavky '!C151:L151)</f>
        <v>1483376</v>
      </c>
      <c r="E37" s="122">
        <f>E35-E36-E38+E30</f>
        <v>1832286</v>
      </c>
      <c r="F37" s="743"/>
      <c r="G37" s="11"/>
    </row>
    <row r="38" spans="3:7" ht="15.75" thickBot="1">
      <c r="C38" s="12" t="s">
        <v>24</v>
      </c>
      <c r="D38" s="123">
        <f>'výdavky '!M151</f>
        <v>537378</v>
      </c>
      <c r="E38" s="123">
        <f>'výdavky '!M152</f>
        <v>845310</v>
      </c>
      <c r="F38" s="743"/>
      <c r="G38" s="11"/>
    </row>
    <row r="39" spans="3:7" ht="21" thickBot="1">
      <c r="C39" s="215" t="s">
        <v>26</v>
      </c>
      <c r="D39" s="216">
        <f>D31-D35</f>
        <v>0</v>
      </c>
      <c r="E39" s="216">
        <f>E31-E35</f>
        <v>309988</v>
      </c>
      <c r="F39" s="743"/>
      <c r="G39" s="11"/>
    </row>
    <row r="40" spans="3:5" ht="12.75">
      <c r="C40" s="1"/>
      <c r="D40" s="11"/>
      <c r="E40" s="11"/>
    </row>
    <row r="41" spans="3:7" ht="12.75">
      <c r="C41" s="3"/>
      <c r="D41" s="13"/>
      <c r="E41" s="13"/>
      <c r="F41" s="750"/>
      <c r="G41" s="3"/>
    </row>
    <row r="42" spans="3:7" ht="12.75">
      <c r="C42" s="3"/>
      <c r="D42" s="13"/>
      <c r="E42" s="13"/>
      <c r="F42" s="750"/>
      <c r="G42" s="3"/>
    </row>
    <row r="43" spans="3:7" ht="12.75">
      <c r="C43" s="3"/>
      <c r="D43" s="13"/>
      <c r="E43" s="13"/>
      <c r="F43" s="750"/>
      <c r="G43" s="3"/>
    </row>
    <row r="44" spans="3:7" ht="12.75">
      <c r="C44" s="3"/>
      <c r="D44" s="3"/>
      <c r="E44" s="3"/>
      <c r="F44" s="750"/>
      <c r="G44" s="3"/>
    </row>
    <row r="45" spans="6:7" ht="12.75">
      <c r="F45" s="815"/>
      <c r="G45" s="3"/>
    </row>
    <row r="46" spans="3:7" s="11" customFormat="1" ht="12.75">
      <c r="C46"/>
      <c r="D46"/>
      <c r="E46"/>
      <c r="F46" s="814"/>
      <c r="G46" s="13"/>
    </row>
    <row r="47" spans="3:7" s="11" customFormat="1" ht="12.75">
      <c r="C47"/>
      <c r="D47"/>
      <c r="E47"/>
      <c r="F47" s="814"/>
      <c r="G47" s="13"/>
    </row>
    <row r="48" spans="3:7" s="11" customFormat="1" ht="12.75">
      <c r="C48"/>
      <c r="D48"/>
      <c r="E48"/>
      <c r="F48" s="814"/>
      <c r="G48" s="13"/>
    </row>
    <row r="49" spans="3:7" s="11" customFormat="1" ht="12.75">
      <c r="C49"/>
      <c r="D49"/>
      <c r="E49"/>
      <c r="F49" s="814"/>
      <c r="G49" s="13"/>
    </row>
    <row r="50" spans="3:7" s="11" customFormat="1" ht="12.75">
      <c r="C50"/>
      <c r="D50"/>
      <c r="E50"/>
      <c r="F50" s="814"/>
      <c r="G50" s="13"/>
    </row>
    <row r="51" spans="3:7" s="11" customFormat="1" ht="12.75">
      <c r="C51"/>
      <c r="D51"/>
      <c r="E51"/>
      <c r="F51" s="814"/>
      <c r="G51" s="13"/>
    </row>
    <row r="52" spans="3:7" s="11" customFormat="1" ht="12.75">
      <c r="C52"/>
      <c r="D52"/>
      <c r="E52"/>
      <c r="F52" s="814"/>
      <c r="G52" s="13"/>
    </row>
    <row r="53" spans="3:7" s="11" customFormat="1" ht="12.75">
      <c r="C53"/>
      <c r="D53"/>
      <c r="E53"/>
      <c r="F53" s="814"/>
      <c r="G53" s="13"/>
    </row>
    <row r="54" spans="3:7" s="11" customFormat="1" ht="12.75">
      <c r="C54"/>
      <c r="D54"/>
      <c r="E54"/>
      <c r="F54" s="814"/>
      <c r="G54" s="13"/>
    </row>
    <row r="55" spans="3:7" s="11" customFormat="1" ht="12.75">
      <c r="C55"/>
      <c r="D55"/>
      <c r="E55"/>
      <c r="F55" s="814"/>
      <c r="G55" s="13"/>
    </row>
    <row r="56" spans="3:7" s="11" customFormat="1" ht="12.75">
      <c r="C56"/>
      <c r="D56"/>
      <c r="E56"/>
      <c r="F56" s="814"/>
      <c r="G56" s="13"/>
    </row>
    <row r="57" spans="3:7" s="11" customFormat="1" ht="12.75">
      <c r="C57"/>
      <c r="D57"/>
      <c r="E57"/>
      <c r="F57" s="814"/>
      <c r="G57" s="13"/>
    </row>
    <row r="58" spans="3:7" s="11" customFormat="1" ht="12.75">
      <c r="C58"/>
      <c r="D58"/>
      <c r="E58"/>
      <c r="F58" s="814"/>
      <c r="G58" s="13"/>
    </row>
    <row r="59" spans="3:7" s="11" customFormat="1" ht="12.75">
      <c r="C59"/>
      <c r="D59"/>
      <c r="E59"/>
      <c r="F59" s="814"/>
      <c r="G59" s="13"/>
    </row>
    <row r="60" spans="3:7" s="11" customFormat="1" ht="12.75">
      <c r="C60"/>
      <c r="D60"/>
      <c r="E60"/>
      <c r="F60" s="814"/>
      <c r="G60" s="13"/>
    </row>
    <row r="61" spans="3:7" s="11" customFormat="1" ht="12.75">
      <c r="C61"/>
      <c r="D61"/>
      <c r="E61"/>
      <c r="F61" s="814"/>
      <c r="G61" s="13"/>
    </row>
    <row r="62" spans="3:7" s="11" customFormat="1" ht="12.75">
      <c r="C62"/>
      <c r="D62"/>
      <c r="E62"/>
      <c r="F62" s="814"/>
      <c r="G62" s="13"/>
    </row>
    <row r="63" spans="3:7" s="11" customFormat="1" ht="12.75">
      <c r="C63"/>
      <c r="D63"/>
      <c r="E63"/>
      <c r="F63" s="814"/>
      <c r="G63" s="13"/>
    </row>
    <row r="64" spans="6:7" ht="12.75">
      <c r="F64" s="750"/>
      <c r="G64" s="3"/>
    </row>
    <row r="65" spans="6:7" ht="12.75">
      <c r="F65" s="750"/>
      <c r="G65" s="3"/>
    </row>
    <row r="66" spans="3:7" ht="12.75">
      <c r="C66" s="3"/>
      <c r="D66" s="3"/>
      <c r="E66" s="3"/>
      <c r="F66" s="750"/>
      <c r="G66" s="3"/>
    </row>
    <row r="67" spans="3:7" ht="12.75">
      <c r="C67" s="3"/>
      <c r="D67" s="3"/>
      <c r="E67" s="3"/>
      <c r="F67" s="750"/>
      <c r="G67" s="3"/>
    </row>
    <row r="68" spans="3:7" ht="12.75">
      <c r="C68" s="3"/>
      <c r="D68" s="3"/>
      <c r="E68" s="3"/>
      <c r="F68" s="750"/>
      <c r="G68" s="3"/>
    </row>
    <row r="69" spans="3:7" ht="12.75">
      <c r="C69" s="3"/>
      <c r="D69" s="3"/>
      <c r="E69" s="3"/>
      <c r="F69" s="750"/>
      <c r="G69" s="3"/>
    </row>
    <row r="70" spans="3:7" ht="12.75">
      <c r="C70" s="3"/>
      <c r="D70" s="3"/>
      <c r="E70" s="3"/>
      <c r="F70" s="750"/>
      <c r="G70" s="3"/>
    </row>
    <row r="71" spans="6:7" ht="18" customHeight="1">
      <c r="F71" s="750"/>
      <c r="G71" s="3"/>
    </row>
    <row r="72" spans="6:7" ht="18" customHeight="1">
      <c r="F72" s="750"/>
      <c r="G72" s="3"/>
    </row>
    <row r="73" spans="6:7" ht="18" customHeight="1">
      <c r="F73" s="750"/>
      <c r="G73" s="3"/>
    </row>
    <row r="74" spans="6:7" ht="18" customHeight="1">
      <c r="F74" s="750"/>
      <c r="G74" s="3"/>
    </row>
    <row r="75" spans="6:7" ht="18" customHeight="1">
      <c r="F75" s="750"/>
      <c r="G75" s="3"/>
    </row>
    <row r="76" spans="6:7" ht="18" customHeight="1">
      <c r="F76" s="750"/>
      <c r="G76" s="3"/>
    </row>
    <row r="77" spans="6:7" ht="18" customHeight="1">
      <c r="F77" s="750"/>
      <c r="G77" s="3"/>
    </row>
    <row r="78" spans="6:7" ht="18" customHeight="1">
      <c r="F78" s="750"/>
      <c r="G78" s="3"/>
    </row>
    <row r="79" spans="6:7" ht="18" customHeight="1">
      <c r="F79" s="750"/>
      <c r="G79" s="3"/>
    </row>
    <row r="80" spans="6:7" ht="12.75">
      <c r="F80" s="750"/>
      <c r="G80" s="3"/>
    </row>
    <row r="81" spans="3:7" ht="12" customHeight="1">
      <c r="C81" s="3"/>
      <c r="D81" s="3"/>
      <c r="E81" s="3"/>
      <c r="F81" s="750"/>
      <c r="G81" s="3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spans="3:7" ht="12.75">
      <c r="C88" s="3"/>
      <c r="D88" s="3"/>
      <c r="E88" s="3"/>
      <c r="F88" s="750"/>
      <c r="G88" s="3"/>
    </row>
    <row r="89" spans="3:7" ht="12.75">
      <c r="C89" s="3"/>
      <c r="D89" s="3"/>
      <c r="E89" s="3"/>
      <c r="F89" s="750"/>
      <c r="G89" s="3"/>
    </row>
    <row r="90" spans="3:7" ht="12.75">
      <c r="C90" s="3"/>
      <c r="D90" s="3"/>
      <c r="E90" s="3"/>
      <c r="F90" s="750"/>
      <c r="G90" s="3"/>
    </row>
    <row r="91" spans="3:7" ht="12.75">
      <c r="C91" s="3"/>
      <c r="D91" s="3"/>
      <c r="E91" s="3"/>
      <c r="F91" s="750"/>
      <c r="G91" s="3"/>
    </row>
    <row r="92" spans="3:7" ht="12.75">
      <c r="C92" s="3"/>
      <c r="D92" s="3"/>
      <c r="E92" s="3"/>
      <c r="F92" s="750"/>
      <c r="G92" s="3"/>
    </row>
    <row r="93" spans="3:7" ht="12.75">
      <c r="C93" s="3"/>
      <c r="D93" s="3"/>
      <c r="E93" s="3"/>
      <c r="F93" s="750"/>
      <c r="G93" s="3"/>
    </row>
    <row r="94" spans="3:7" ht="12.75">
      <c r="C94" s="3"/>
      <c r="D94" s="3"/>
      <c r="E94" s="3"/>
      <c r="F94" s="750"/>
      <c r="G94" s="3"/>
    </row>
    <row r="95" spans="3:7" ht="12.75">
      <c r="C95" s="3"/>
      <c r="D95" s="3"/>
      <c r="E95" s="3"/>
      <c r="F95" s="750"/>
      <c r="G95" s="3"/>
    </row>
    <row r="96" spans="3:7" ht="12.75">
      <c r="C96" s="3"/>
      <c r="D96" s="3"/>
      <c r="E96" s="3"/>
      <c r="F96" s="750"/>
      <c r="G96" s="3"/>
    </row>
    <row r="97" spans="3:7" ht="12.75">
      <c r="C97" s="3"/>
      <c r="D97" s="3"/>
      <c r="E97" s="3"/>
      <c r="F97" s="750"/>
      <c r="G97" s="3"/>
    </row>
    <row r="98" spans="3:7" ht="12.75">
      <c r="C98" s="3"/>
      <c r="D98" s="3"/>
      <c r="E98" s="3"/>
      <c r="F98" s="750"/>
      <c r="G98" s="3"/>
    </row>
    <row r="99" spans="3:7" ht="12.75">
      <c r="C99" s="3"/>
      <c r="D99" s="3"/>
      <c r="E99" s="3"/>
      <c r="F99" s="750"/>
      <c r="G99" s="3"/>
    </row>
    <row r="100" spans="3:7" ht="12.75">
      <c r="C100" s="3"/>
      <c r="D100" s="3"/>
      <c r="E100" s="3"/>
      <c r="F100" s="750"/>
      <c r="G100" s="3"/>
    </row>
    <row r="101" spans="3:7" ht="12.75">
      <c r="C101" s="3"/>
      <c r="D101" s="3"/>
      <c r="E101" s="3"/>
      <c r="F101" s="750"/>
      <c r="G101" s="3"/>
    </row>
    <row r="102" spans="3:7" ht="12.75">
      <c r="C102" s="3"/>
      <c r="D102" s="3"/>
      <c r="E102" s="3"/>
      <c r="F102" s="750"/>
      <c r="G102" s="3"/>
    </row>
    <row r="103" spans="3:7" ht="12.75">
      <c r="C103" s="3"/>
      <c r="D103" s="3"/>
      <c r="E103" s="3"/>
      <c r="F103" s="750"/>
      <c r="G103" s="3"/>
    </row>
    <row r="104" spans="3:7" ht="12.75">
      <c r="C104" s="3"/>
      <c r="D104" s="3"/>
      <c r="E104" s="3"/>
      <c r="F104" s="750"/>
      <c r="G104" s="3"/>
    </row>
    <row r="105" spans="3:7" ht="12.75">
      <c r="C105" s="3"/>
      <c r="D105" s="3"/>
      <c r="E105" s="3"/>
      <c r="F105" s="750"/>
      <c r="G105" s="3"/>
    </row>
    <row r="106" spans="3:7" ht="12.75">
      <c r="C106" s="3"/>
      <c r="D106" s="3"/>
      <c r="E106" s="3"/>
      <c r="F106" s="750"/>
      <c r="G106" s="3"/>
    </row>
    <row r="107" spans="3:7" ht="12.75">
      <c r="C107" s="3"/>
      <c r="D107" s="3"/>
      <c r="E107" s="3"/>
      <c r="F107" s="750"/>
      <c r="G107" s="3"/>
    </row>
    <row r="108" spans="3:7" ht="12.75">
      <c r="C108" s="3"/>
      <c r="D108" s="3"/>
      <c r="E108" s="3"/>
      <c r="F108" s="750"/>
      <c r="G108" s="3"/>
    </row>
    <row r="109" spans="3:7" ht="12.75">
      <c r="C109" s="3"/>
      <c r="D109" s="3"/>
      <c r="E109" s="3"/>
      <c r="F109" s="750"/>
      <c r="G109" s="3"/>
    </row>
    <row r="110" spans="3:7" ht="12.75">
      <c r="C110" s="3"/>
      <c r="D110" s="3"/>
      <c r="E110" s="3"/>
      <c r="F110" s="750"/>
      <c r="G110" s="3"/>
    </row>
    <row r="111" spans="3:7" ht="12.75">
      <c r="C111" s="3"/>
      <c r="D111" s="3"/>
      <c r="E111" s="3"/>
      <c r="F111" s="750"/>
      <c r="G111" s="3"/>
    </row>
    <row r="112" spans="3:7" ht="12.75">
      <c r="C112" s="3"/>
      <c r="D112" s="3"/>
      <c r="E112" s="3"/>
      <c r="F112" s="750"/>
      <c r="G112" s="3"/>
    </row>
    <row r="113" spans="3:7" ht="12.75">
      <c r="C113" s="3"/>
      <c r="D113" s="3"/>
      <c r="E113" s="3"/>
      <c r="F113" s="750"/>
      <c r="G113" s="3"/>
    </row>
    <row r="114" spans="3:7" ht="12.75">
      <c r="C114" s="3"/>
      <c r="D114" s="3"/>
      <c r="E114" s="3"/>
      <c r="F114" s="750"/>
      <c r="G114" s="3"/>
    </row>
    <row r="115" spans="3:7" ht="12.75">
      <c r="C115" s="3"/>
      <c r="D115" s="3"/>
      <c r="E115" s="3"/>
      <c r="F115" s="750"/>
      <c r="G115" s="3"/>
    </row>
    <row r="116" spans="3:7" ht="12.75">
      <c r="C116" s="3"/>
      <c r="D116" s="3"/>
      <c r="E116" s="3"/>
      <c r="F116" s="750"/>
      <c r="G116" s="3"/>
    </row>
    <row r="117" spans="3:7" ht="12.75">
      <c r="C117" s="3"/>
      <c r="D117" s="3"/>
      <c r="E117" s="3"/>
      <c r="F117" s="750"/>
      <c r="G117" s="3"/>
    </row>
    <row r="118" spans="3:7" ht="12.75">
      <c r="C118" s="3"/>
      <c r="D118" s="3"/>
      <c r="E118" s="3"/>
      <c r="F118" s="750"/>
      <c r="G118" s="3"/>
    </row>
    <row r="119" spans="3:7" ht="12.75">
      <c r="C119" s="3"/>
      <c r="D119" s="3"/>
      <c r="E119" s="3"/>
      <c r="F119" s="750"/>
      <c r="G119" s="3"/>
    </row>
    <row r="120" spans="3:7" ht="12.75">
      <c r="C120" s="3"/>
      <c r="D120" s="3"/>
      <c r="E120" s="3"/>
      <c r="F120" s="750"/>
      <c r="G120" s="3"/>
    </row>
    <row r="121" spans="3:7" ht="12.75">
      <c r="C121" s="3"/>
      <c r="D121" s="3"/>
      <c r="E121" s="3"/>
      <c r="F121" s="750"/>
      <c r="G121" s="3"/>
    </row>
    <row r="122" spans="3:7" ht="12.75">
      <c r="C122" s="3"/>
      <c r="D122" s="3"/>
      <c r="E122" s="3"/>
      <c r="F122" s="750"/>
      <c r="G122" s="3"/>
    </row>
    <row r="123" spans="3:7" ht="12.75">
      <c r="C123" s="3"/>
      <c r="D123" s="3"/>
      <c r="E123" s="3"/>
      <c r="F123" s="750"/>
      <c r="G123" s="3"/>
    </row>
    <row r="124" spans="3:7" ht="12.75">
      <c r="C124" s="3"/>
      <c r="D124" s="3"/>
      <c r="E124" s="3"/>
      <c r="F124" s="750"/>
      <c r="G124" s="3"/>
    </row>
    <row r="125" spans="3:7" ht="12.75">
      <c r="C125" s="3"/>
      <c r="D125" s="3"/>
      <c r="E125" s="3"/>
      <c r="F125" s="750"/>
      <c r="G125" s="3"/>
    </row>
    <row r="126" spans="3:7" ht="12.75">
      <c r="C126" s="3"/>
      <c r="D126" s="3"/>
      <c r="E126" s="3"/>
      <c r="F126" s="750"/>
      <c r="G126" s="3"/>
    </row>
    <row r="127" spans="3:7" ht="12.75">
      <c r="C127" s="3"/>
      <c r="D127" s="3"/>
      <c r="E127" s="3"/>
      <c r="F127" s="750"/>
      <c r="G127" s="3"/>
    </row>
    <row r="128" spans="3:7" ht="12.75">
      <c r="C128" s="3"/>
      <c r="D128" s="3"/>
      <c r="E128" s="3"/>
      <c r="F128" s="750"/>
      <c r="G128" s="3"/>
    </row>
    <row r="129" spans="3:7" ht="12.75">
      <c r="C129" s="3"/>
      <c r="D129" s="3"/>
      <c r="E129" s="3"/>
      <c r="F129" s="750"/>
      <c r="G129" s="3"/>
    </row>
    <row r="130" spans="3:7" ht="12.75">
      <c r="C130" s="3"/>
      <c r="D130" s="3"/>
      <c r="E130" s="3"/>
      <c r="F130" s="750"/>
      <c r="G130" s="3"/>
    </row>
    <row r="131" spans="3:7" ht="12.75">
      <c r="C131" s="3"/>
      <c r="D131" s="3"/>
      <c r="E131" s="3"/>
      <c r="F131" s="750"/>
      <c r="G131" s="3"/>
    </row>
    <row r="132" spans="3:7" ht="12.75">
      <c r="C132" s="3"/>
      <c r="D132" s="3"/>
      <c r="E132" s="3"/>
      <c r="F132" s="750"/>
      <c r="G132" s="3"/>
    </row>
    <row r="133" spans="3:7" ht="12.75">
      <c r="C133" s="3"/>
      <c r="D133" s="3"/>
      <c r="E133" s="3"/>
      <c r="F133" s="750"/>
      <c r="G133" s="3"/>
    </row>
    <row r="134" spans="3:7" ht="12.75">
      <c r="C134" s="3"/>
      <c r="D134" s="3"/>
      <c r="E134" s="3"/>
      <c r="F134" s="750"/>
      <c r="G134" s="3"/>
    </row>
    <row r="135" spans="3:7" ht="12.75">
      <c r="C135" s="3"/>
      <c r="D135" s="3"/>
      <c r="E135" s="3"/>
      <c r="F135" s="750"/>
      <c r="G135" s="3"/>
    </row>
    <row r="136" spans="3:7" ht="12.75">
      <c r="C136" s="3"/>
      <c r="D136" s="3"/>
      <c r="E136" s="3"/>
      <c r="F136" s="750"/>
      <c r="G136" s="3"/>
    </row>
    <row r="137" spans="3:7" ht="12.75">
      <c r="C137" s="3"/>
      <c r="D137" s="3"/>
      <c r="E137" s="3"/>
      <c r="F137" s="750"/>
      <c r="G137" s="3"/>
    </row>
    <row r="138" spans="3:7" ht="12.75">
      <c r="C138" s="3"/>
      <c r="D138" s="3"/>
      <c r="E138" s="3"/>
      <c r="F138" s="750"/>
      <c r="G138" s="3"/>
    </row>
    <row r="139" spans="3:7" ht="12.75">
      <c r="C139" s="3"/>
      <c r="D139" s="3"/>
      <c r="E139" s="3"/>
      <c r="F139" s="750"/>
      <c r="G139" s="3"/>
    </row>
    <row r="140" spans="3:7" ht="12.75">
      <c r="C140" s="3"/>
      <c r="D140" s="3"/>
      <c r="E140" s="3"/>
      <c r="F140" s="750"/>
      <c r="G140" s="3"/>
    </row>
    <row r="141" spans="3:7" ht="12.75">
      <c r="C141" s="3"/>
      <c r="D141" s="3"/>
      <c r="E141" s="3"/>
      <c r="F141" s="750"/>
      <c r="G141" s="3"/>
    </row>
    <row r="142" spans="3:7" ht="12.75">
      <c r="C142" s="3"/>
      <c r="D142" s="3"/>
      <c r="E142" s="3"/>
      <c r="F142" s="750"/>
      <c r="G142" s="3"/>
    </row>
    <row r="143" spans="3:7" ht="12.75">
      <c r="C143" s="3"/>
      <c r="D143" s="3"/>
      <c r="E143" s="3"/>
      <c r="F143" s="750"/>
      <c r="G143" s="3"/>
    </row>
    <row r="144" spans="3:7" ht="12.75">
      <c r="C144" s="3"/>
      <c r="D144" s="3"/>
      <c r="E144" s="3"/>
      <c r="F144" s="750"/>
      <c r="G144" s="3"/>
    </row>
    <row r="145" spans="3:7" ht="12.75">
      <c r="C145" s="3"/>
      <c r="D145" s="3"/>
      <c r="E145" s="3"/>
      <c r="F145" s="750"/>
      <c r="G145" s="3"/>
    </row>
    <row r="146" spans="3:7" ht="12.75">
      <c r="C146" s="3"/>
      <c r="D146" s="3"/>
      <c r="E146" s="3"/>
      <c r="F146" s="750"/>
      <c r="G146" s="3"/>
    </row>
    <row r="147" spans="3:7" ht="12.75">
      <c r="C147" s="3"/>
      <c r="D147" s="3"/>
      <c r="E147" s="3"/>
      <c r="F147" s="750"/>
      <c r="G147" s="3"/>
    </row>
    <row r="148" spans="3:7" ht="12.75">
      <c r="C148" s="3"/>
      <c r="D148" s="3"/>
      <c r="E148" s="3"/>
      <c r="F148" s="750"/>
      <c r="G148" s="3"/>
    </row>
    <row r="149" spans="3:7" ht="12.75">
      <c r="C149" s="3"/>
      <c r="D149" s="3"/>
      <c r="E149" s="3"/>
      <c r="F149" s="750"/>
      <c r="G149" s="3"/>
    </row>
    <row r="150" spans="3:7" ht="12.75">
      <c r="C150" s="3"/>
      <c r="D150" s="3"/>
      <c r="E150" s="3"/>
      <c r="F150" s="750"/>
      <c r="G150" s="3"/>
    </row>
    <row r="151" spans="3:7" ht="12.75">
      <c r="C151" s="3"/>
      <c r="D151" s="3"/>
      <c r="E151" s="3"/>
      <c r="F151" s="750"/>
      <c r="G151" s="3"/>
    </row>
    <row r="152" spans="3:7" ht="12.75">
      <c r="C152" s="3"/>
      <c r="D152" s="3"/>
      <c r="E152" s="3"/>
      <c r="F152" s="750"/>
      <c r="G152" s="3"/>
    </row>
    <row r="153" spans="3:7" ht="12.75">
      <c r="C153" s="3"/>
      <c r="D153" s="3"/>
      <c r="E153" s="3"/>
      <c r="F153" s="750"/>
      <c r="G153" s="3"/>
    </row>
    <row r="154" spans="3:7" ht="12.75">
      <c r="C154" s="3"/>
      <c r="D154" s="3"/>
      <c r="E154" s="3"/>
      <c r="F154" s="750"/>
      <c r="G154" s="3"/>
    </row>
    <row r="155" spans="3:7" ht="12.75">
      <c r="C155" s="3"/>
      <c r="D155" s="3"/>
      <c r="E155" s="3"/>
      <c r="F155" s="750"/>
      <c r="G155" s="3"/>
    </row>
    <row r="156" spans="3:7" ht="12.75">
      <c r="C156" s="3"/>
      <c r="D156" s="3"/>
      <c r="E156" s="3"/>
      <c r="F156" s="750"/>
      <c r="G156" s="3"/>
    </row>
    <row r="157" spans="3:7" ht="12.75">
      <c r="C157" s="3"/>
      <c r="D157" s="3"/>
      <c r="E157" s="3"/>
      <c r="F157" s="750"/>
      <c r="G157" s="3"/>
    </row>
    <row r="158" spans="3:7" ht="12.75">
      <c r="C158" s="3"/>
      <c r="D158" s="3"/>
      <c r="E158" s="3"/>
      <c r="F158" s="750"/>
      <c r="G158" s="3"/>
    </row>
    <row r="159" spans="3:7" ht="12.75">
      <c r="C159" s="3"/>
      <c r="D159" s="3"/>
      <c r="E159" s="3"/>
      <c r="F159" s="750"/>
      <c r="G159" s="3"/>
    </row>
    <row r="160" spans="3:7" ht="12.75">
      <c r="C160" s="3"/>
      <c r="D160" s="3"/>
      <c r="E160" s="3"/>
      <c r="F160" s="750"/>
      <c r="G160" s="3"/>
    </row>
    <row r="161" spans="3:7" ht="12.75">
      <c r="C161" s="3"/>
      <c r="D161" s="3"/>
      <c r="E161" s="3"/>
      <c r="F161" s="750"/>
      <c r="G161" s="3"/>
    </row>
    <row r="162" spans="3:7" ht="12.75">
      <c r="C162" s="3"/>
      <c r="D162" s="3"/>
      <c r="E162" s="3"/>
      <c r="F162" s="750"/>
      <c r="G162" s="3"/>
    </row>
    <row r="163" spans="3:7" ht="12.75">
      <c r="C163" s="3"/>
      <c r="D163" s="3"/>
      <c r="E163" s="3"/>
      <c r="F163" s="750"/>
      <c r="G163" s="3"/>
    </row>
    <row r="164" spans="3:7" ht="12.75">
      <c r="C164" s="3"/>
      <c r="D164" s="3"/>
      <c r="E164" s="3"/>
      <c r="F164" s="750"/>
      <c r="G164" s="3"/>
    </row>
    <row r="165" spans="3:7" ht="12.75">
      <c r="C165" s="3"/>
      <c r="D165" s="3"/>
      <c r="E165" s="3"/>
      <c r="F165" s="750"/>
      <c r="G165" s="3"/>
    </row>
    <row r="166" spans="3:7" ht="12.75">
      <c r="C166" s="3"/>
      <c r="D166" s="3"/>
      <c r="E166" s="3"/>
      <c r="F166" s="750"/>
      <c r="G166" s="3"/>
    </row>
    <row r="167" spans="3:7" ht="12.75">
      <c r="C167" s="3"/>
      <c r="D167" s="3"/>
      <c r="E167" s="3"/>
      <c r="F167" s="750"/>
      <c r="G167" s="3"/>
    </row>
    <row r="168" spans="3:7" ht="12.75">
      <c r="C168" s="3"/>
      <c r="D168" s="3"/>
      <c r="E168" s="3"/>
      <c r="F168" s="750"/>
      <c r="G168" s="3"/>
    </row>
    <row r="169" spans="3:7" ht="12.75">
      <c r="C169" s="3"/>
      <c r="D169" s="3"/>
      <c r="E169" s="3"/>
      <c r="F169" s="750"/>
      <c r="G169" s="3"/>
    </row>
    <row r="170" spans="3:7" ht="12.75">
      <c r="C170" s="3"/>
      <c r="D170" s="3"/>
      <c r="E170" s="3"/>
      <c r="F170" s="750"/>
      <c r="G170" s="3"/>
    </row>
    <row r="171" spans="3:7" ht="12.75">
      <c r="C171" s="3"/>
      <c r="D171" s="3"/>
      <c r="E171" s="3"/>
      <c r="F171" s="750"/>
      <c r="G171" s="3"/>
    </row>
    <row r="172" spans="3:7" ht="12.75">
      <c r="C172" s="3"/>
      <c r="D172" s="3"/>
      <c r="E172" s="3"/>
      <c r="F172" s="750"/>
      <c r="G172" s="3"/>
    </row>
    <row r="173" spans="3:7" ht="12.75">
      <c r="C173" s="3"/>
      <c r="D173" s="3"/>
      <c r="E173" s="3"/>
      <c r="F173" s="750"/>
      <c r="G173" s="3"/>
    </row>
    <row r="174" spans="3:7" ht="12.75">
      <c r="C174" s="3"/>
      <c r="D174" s="3"/>
      <c r="E174" s="3"/>
      <c r="F174" s="750"/>
      <c r="G174" s="3"/>
    </row>
    <row r="175" spans="3:7" ht="12.75">
      <c r="C175" s="3"/>
      <c r="D175" s="3"/>
      <c r="E175" s="3"/>
      <c r="F175" s="750"/>
      <c r="G175" s="3"/>
    </row>
    <row r="176" spans="3:7" ht="12.75">
      <c r="C176" s="3"/>
      <c r="D176" s="3"/>
      <c r="E176" s="3"/>
      <c r="F176" s="750"/>
      <c r="G176" s="3"/>
    </row>
    <row r="177" spans="3:7" ht="12.75">
      <c r="C177" s="3"/>
      <c r="D177" s="3"/>
      <c r="E177" s="3"/>
      <c r="F177" s="750"/>
      <c r="G177" s="3"/>
    </row>
    <row r="178" spans="3:7" ht="12.75">
      <c r="C178" s="3"/>
      <c r="D178" s="3"/>
      <c r="E178" s="3"/>
      <c r="F178" s="750"/>
      <c r="G178" s="3"/>
    </row>
    <row r="179" spans="3:7" ht="12.75">
      <c r="C179" s="3"/>
      <c r="D179" s="3"/>
      <c r="E179" s="3"/>
      <c r="F179" s="750"/>
      <c r="G179" s="3"/>
    </row>
    <row r="180" spans="3:7" ht="12.75">
      <c r="C180" s="3"/>
      <c r="D180" s="3"/>
      <c r="E180" s="3"/>
      <c r="F180" s="750"/>
      <c r="G180" s="3"/>
    </row>
    <row r="181" spans="3:7" ht="12.75">
      <c r="C181" s="3"/>
      <c r="D181" s="3"/>
      <c r="E181" s="3"/>
      <c r="F181" s="750"/>
      <c r="G181" s="3"/>
    </row>
    <row r="182" spans="3:7" ht="12.75">
      <c r="C182" s="3"/>
      <c r="D182" s="3"/>
      <c r="E182" s="3"/>
      <c r="F182" s="750"/>
      <c r="G182" s="3"/>
    </row>
    <row r="183" spans="3:7" ht="12.75">
      <c r="C183" s="3"/>
      <c r="D183" s="3"/>
      <c r="E183" s="3"/>
      <c r="F183" s="750"/>
      <c r="G183" s="3"/>
    </row>
    <row r="184" spans="3:7" ht="12.75">
      <c r="C184" s="3"/>
      <c r="D184" s="3"/>
      <c r="E184" s="3"/>
      <c r="F184" s="750"/>
      <c r="G184" s="3"/>
    </row>
    <row r="185" spans="3:7" ht="12.75">
      <c r="C185" s="3"/>
      <c r="D185" s="3"/>
      <c r="E185" s="3"/>
      <c r="F185" s="750"/>
      <c r="G185" s="3"/>
    </row>
    <row r="186" spans="3:7" ht="12.75">
      <c r="C186" s="3"/>
      <c r="D186" s="3"/>
      <c r="E186" s="3"/>
      <c r="F186" s="750"/>
      <c r="G186" s="3"/>
    </row>
    <row r="187" spans="3:7" ht="12.75">
      <c r="C187" s="3"/>
      <c r="D187" s="3"/>
      <c r="E187" s="3"/>
      <c r="F187" s="750"/>
      <c r="G187" s="3"/>
    </row>
    <row r="188" spans="3:7" ht="12.75">
      <c r="C188" s="3"/>
      <c r="D188" s="3"/>
      <c r="E188" s="3"/>
      <c r="F188" s="750"/>
      <c r="G188" s="3"/>
    </row>
    <row r="189" spans="3:7" ht="12.75">
      <c r="C189" s="3"/>
      <c r="D189" s="3"/>
      <c r="E189" s="3"/>
      <c r="F189" s="750"/>
      <c r="G189" s="3"/>
    </row>
    <row r="190" spans="3:7" ht="12.75">
      <c r="C190" s="3"/>
      <c r="D190" s="3"/>
      <c r="E190" s="3"/>
      <c r="F190" s="750"/>
      <c r="G190" s="3"/>
    </row>
    <row r="191" spans="3:7" ht="12.75">
      <c r="C191" s="3"/>
      <c r="D191" s="3"/>
      <c r="E191" s="3"/>
      <c r="F191" s="750"/>
      <c r="G191" s="3"/>
    </row>
    <row r="192" spans="3:7" ht="12.75">
      <c r="C192" s="3"/>
      <c r="D192" s="3"/>
      <c r="E192" s="3"/>
      <c r="F192" s="750"/>
      <c r="G192" s="3"/>
    </row>
    <row r="193" spans="3:7" ht="12.75">
      <c r="C193" s="3"/>
      <c r="D193" s="3"/>
      <c r="E193" s="3"/>
      <c r="F193" s="750"/>
      <c r="G193" s="3"/>
    </row>
    <row r="194" spans="3:7" ht="12.75">
      <c r="C194" s="3"/>
      <c r="D194" s="3"/>
      <c r="E194" s="3"/>
      <c r="F194" s="750"/>
      <c r="G194" s="3"/>
    </row>
    <row r="195" spans="3:7" ht="12.75">
      <c r="C195" s="3"/>
      <c r="D195" s="3"/>
      <c r="E195" s="3"/>
      <c r="F195" s="750"/>
      <c r="G195" s="3"/>
    </row>
    <row r="196" spans="3:7" ht="12.75">
      <c r="C196" s="3"/>
      <c r="D196" s="3"/>
      <c r="E196" s="3"/>
      <c r="F196" s="750"/>
      <c r="G196" s="3"/>
    </row>
    <row r="197" spans="3:7" ht="12.75">
      <c r="C197" s="3"/>
      <c r="D197" s="3"/>
      <c r="E197" s="3"/>
      <c r="F197" s="750"/>
      <c r="G197" s="3"/>
    </row>
    <row r="198" spans="3:7" ht="12.75">
      <c r="C198" s="3"/>
      <c r="D198" s="3"/>
      <c r="E198" s="3"/>
      <c r="F198" s="750"/>
      <c r="G198" s="3"/>
    </row>
    <row r="199" spans="3:7" ht="12.75">
      <c r="C199" s="3"/>
      <c r="D199" s="3"/>
      <c r="E199" s="3"/>
      <c r="F199" s="750"/>
      <c r="G199" s="3"/>
    </row>
    <row r="200" spans="3:7" ht="12.75">
      <c r="C200" s="3"/>
      <c r="D200" s="3"/>
      <c r="E200" s="3"/>
      <c r="F200" s="750"/>
      <c r="G200" s="3"/>
    </row>
    <row r="201" spans="3:7" ht="12.75">
      <c r="C201" s="3"/>
      <c r="D201" s="3"/>
      <c r="E201" s="3"/>
      <c r="F201" s="750"/>
      <c r="G201" s="3"/>
    </row>
    <row r="202" spans="3:7" ht="12.75">
      <c r="C202" s="3"/>
      <c r="D202" s="3"/>
      <c r="E202" s="3"/>
      <c r="F202" s="750"/>
      <c r="G202" s="3"/>
    </row>
    <row r="203" spans="3:7" ht="12.75">
      <c r="C203" s="3"/>
      <c r="D203" s="3"/>
      <c r="E203" s="3"/>
      <c r="F203" s="750"/>
      <c r="G203" s="3"/>
    </row>
    <row r="204" spans="3:7" ht="12.75">
      <c r="C204" s="3"/>
      <c r="D204" s="3"/>
      <c r="E204" s="3"/>
      <c r="F204" s="750"/>
      <c r="G204" s="3"/>
    </row>
    <row r="205" spans="3:7" ht="12.75">
      <c r="C205" s="3"/>
      <c r="D205" s="3"/>
      <c r="E205" s="3"/>
      <c r="F205" s="750"/>
      <c r="G205" s="3"/>
    </row>
    <row r="206" spans="3:7" ht="12.75">
      <c r="C206" s="3"/>
      <c r="D206" s="3"/>
      <c r="E206" s="3"/>
      <c r="F206" s="750"/>
      <c r="G206" s="3"/>
    </row>
    <row r="207" spans="3:7" ht="12.75">
      <c r="C207" s="3"/>
      <c r="D207" s="3"/>
      <c r="E207" s="3"/>
      <c r="F207" s="750"/>
      <c r="G207" s="3"/>
    </row>
    <row r="208" spans="3:7" ht="12.75">
      <c r="C208" s="3"/>
      <c r="D208" s="3"/>
      <c r="E208" s="3"/>
      <c r="F208" s="750"/>
      <c r="G208" s="3"/>
    </row>
    <row r="209" spans="3:7" ht="12.75">
      <c r="C209" s="3"/>
      <c r="D209" s="3"/>
      <c r="E209" s="3"/>
      <c r="F209" s="750"/>
      <c r="G209" s="3"/>
    </row>
    <row r="210" spans="3:7" ht="12.75">
      <c r="C210" s="3"/>
      <c r="D210" s="3"/>
      <c r="E210" s="3"/>
      <c r="F210" s="750"/>
      <c r="G210" s="3"/>
    </row>
    <row r="211" spans="3:7" ht="12.75">
      <c r="C211" s="3"/>
      <c r="D211" s="3"/>
      <c r="E211" s="3"/>
      <c r="F211" s="750"/>
      <c r="G211" s="3"/>
    </row>
    <row r="212" spans="3:7" ht="12.75">
      <c r="C212" s="3"/>
      <c r="D212" s="3"/>
      <c r="E212" s="3"/>
      <c r="F212" s="750"/>
      <c r="G212" s="3"/>
    </row>
    <row r="213" spans="3:7" ht="12.75">
      <c r="C213" s="3"/>
      <c r="D213" s="3"/>
      <c r="E213" s="3"/>
      <c r="F213" s="750"/>
      <c r="G213" s="3"/>
    </row>
    <row r="214" spans="3:7" ht="12.75">
      <c r="C214" s="3"/>
      <c r="D214" s="3"/>
      <c r="E214" s="3"/>
      <c r="F214" s="750"/>
      <c r="G214" s="3"/>
    </row>
    <row r="215" spans="3:7" ht="12.75">
      <c r="C215" s="3"/>
      <c r="D215" s="3"/>
      <c r="E215" s="3"/>
      <c r="F215" s="750"/>
      <c r="G215" s="3"/>
    </row>
    <row r="216" spans="3:7" ht="12.75">
      <c r="C216" s="3"/>
      <c r="D216" s="3"/>
      <c r="E216" s="3"/>
      <c r="F216" s="750"/>
      <c r="G216" s="3"/>
    </row>
    <row r="217" spans="3:7" ht="12.75">
      <c r="C217" s="3"/>
      <c r="D217" s="3"/>
      <c r="E217" s="3"/>
      <c r="F217" s="750"/>
      <c r="G217" s="3"/>
    </row>
    <row r="218" spans="3:7" ht="12.75">
      <c r="C218" s="3"/>
      <c r="D218" s="3"/>
      <c r="E218" s="3"/>
      <c r="F218" s="750"/>
      <c r="G218" s="3"/>
    </row>
    <row r="219" spans="3:7" ht="12.75">
      <c r="C219" s="3"/>
      <c r="D219" s="3"/>
      <c r="E219" s="3"/>
      <c r="F219" s="750"/>
      <c r="G219" s="3"/>
    </row>
    <row r="220" spans="3:7" ht="12.75">
      <c r="C220" s="3"/>
      <c r="D220" s="3"/>
      <c r="E220" s="3"/>
      <c r="F220" s="750"/>
      <c r="G220" s="3"/>
    </row>
    <row r="221" spans="3:7" ht="12.75">
      <c r="C221" s="3"/>
      <c r="D221" s="3"/>
      <c r="E221" s="3"/>
      <c r="F221" s="750"/>
      <c r="G221" s="3"/>
    </row>
    <row r="222" spans="3:7" ht="12.75">
      <c r="C222" s="3"/>
      <c r="D222" s="3"/>
      <c r="E222" s="3"/>
      <c r="F222" s="750"/>
      <c r="G222" s="3"/>
    </row>
    <row r="223" spans="3:7" ht="12.75">
      <c r="C223" s="3"/>
      <c r="D223" s="3"/>
      <c r="E223" s="3"/>
      <c r="F223" s="750"/>
      <c r="G223" s="3"/>
    </row>
    <row r="224" spans="3:7" ht="12.75">
      <c r="C224" s="3"/>
      <c r="D224" s="3"/>
      <c r="E224" s="3"/>
      <c r="F224" s="750"/>
      <c r="G224" s="3"/>
    </row>
    <row r="225" spans="3:7" ht="12.75">
      <c r="C225" s="3"/>
      <c r="D225" s="3"/>
      <c r="E225" s="3"/>
      <c r="F225" s="750"/>
      <c r="G225" s="3"/>
    </row>
    <row r="226" spans="3:7" ht="12.75">
      <c r="C226" s="3"/>
      <c r="D226" s="3"/>
      <c r="E226" s="3"/>
      <c r="F226" s="750"/>
      <c r="G226" s="3"/>
    </row>
    <row r="227" spans="3:7" ht="12.75">
      <c r="C227" s="3"/>
      <c r="D227" s="3"/>
      <c r="E227" s="3"/>
      <c r="F227" s="750"/>
      <c r="G227" s="3"/>
    </row>
    <row r="228" spans="3:7" ht="12.75">
      <c r="C228" s="3"/>
      <c r="D228" s="3"/>
      <c r="E228" s="3"/>
      <c r="F228" s="750"/>
      <c r="G228" s="3"/>
    </row>
    <row r="229" spans="3:7" ht="12.75">
      <c r="C229" s="3"/>
      <c r="D229" s="3"/>
      <c r="E229" s="3"/>
      <c r="F229" s="750"/>
      <c r="G229" s="3"/>
    </row>
    <row r="230" spans="3:7" ht="12.75">
      <c r="C230" s="3"/>
      <c r="D230" s="3"/>
      <c r="E230" s="3"/>
      <c r="F230" s="750"/>
      <c r="G230" s="3"/>
    </row>
    <row r="231" spans="3:7" ht="12.75">
      <c r="C231" s="3"/>
      <c r="D231" s="3"/>
      <c r="E231" s="3"/>
      <c r="F231" s="750"/>
      <c r="G231" s="3"/>
    </row>
    <row r="232" spans="3:7" ht="12.75">
      <c r="C232" s="3"/>
      <c r="D232" s="3"/>
      <c r="E232" s="3"/>
      <c r="F232" s="750"/>
      <c r="G232" s="3"/>
    </row>
    <row r="233" spans="3:7" ht="12.75">
      <c r="C233" s="3"/>
      <c r="D233" s="3"/>
      <c r="E233" s="3"/>
      <c r="F233" s="750"/>
      <c r="G233" s="3"/>
    </row>
    <row r="234" spans="3:7" ht="12.75">
      <c r="C234" s="3"/>
      <c r="D234" s="3"/>
      <c r="E234" s="3"/>
      <c r="F234" s="750"/>
      <c r="G234" s="3"/>
    </row>
    <row r="235" spans="3:7" ht="12.75">
      <c r="C235" s="3"/>
      <c r="D235" s="3"/>
      <c r="E235" s="3"/>
      <c r="F235" s="750"/>
      <c r="G235" s="3"/>
    </row>
    <row r="236" spans="3:7" ht="12.75">
      <c r="C236" s="3"/>
      <c r="D236" s="3"/>
      <c r="E236" s="3"/>
      <c r="F236" s="750"/>
      <c r="G236" s="3"/>
    </row>
    <row r="237" spans="3:7" ht="12.75">
      <c r="C237" s="3"/>
      <c r="D237" s="3"/>
      <c r="E237" s="3"/>
      <c r="F237" s="750"/>
      <c r="G237" s="3"/>
    </row>
    <row r="238" spans="3:7" ht="12.75">
      <c r="C238" s="3"/>
      <c r="D238" s="3"/>
      <c r="E238" s="3"/>
      <c r="F238" s="750"/>
      <c r="G238" s="3"/>
    </row>
    <row r="239" spans="3:7" ht="12.75">
      <c r="C239" s="3"/>
      <c r="D239" s="3"/>
      <c r="E239" s="3"/>
      <c r="F239" s="750"/>
      <c r="G239" s="3"/>
    </row>
    <row r="240" spans="3:7" ht="12.75">
      <c r="C240" s="3"/>
      <c r="D240" s="3"/>
      <c r="E240" s="3"/>
      <c r="F240" s="750"/>
      <c r="G240" s="3"/>
    </row>
    <row r="241" spans="3:7" ht="12.75">
      <c r="C241" s="3"/>
      <c r="D241" s="3"/>
      <c r="E241" s="3"/>
      <c r="F241" s="750"/>
      <c r="G241" s="3"/>
    </row>
    <row r="242" spans="3:7" ht="12.75">
      <c r="C242" s="3"/>
      <c r="D242" s="3"/>
      <c r="E242" s="3"/>
      <c r="F242" s="750"/>
      <c r="G242" s="3"/>
    </row>
    <row r="243" spans="3:7" ht="12.75">
      <c r="C243" s="3"/>
      <c r="D243" s="3"/>
      <c r="E243" s="3"/>
      <c r="F243" s="750"/>
      <c r="G243" s="3"/>
    </row>
    <row r="244" spans="3:7" ht="12.75">
      <c r="C244" s="3"/>
      <c r="D244" s="3"/>
      <c r="E244" s="3"/>
      <c r="F244" s="750"/>
      <c r="G244" s="3"/>
    </row>
    <row r="245" spans="3:7" ht="12.75">
      <c r="C245" s="3"/>
      <c r="D245" s="3"/>
      <c r="E245" s="3"/>
      <c r="F245" s="750"/>
      <c r="G245" s="3"/>
    </row>
    <row r="246" spans="3:7" ht="12.75">
      <c r="C246" s="3"/>
      <c r="D246" s="3"/>
      <c r="E246" s="3"/>
      <c r="F246" s="750"/>
      <c r="G246" s="3"/>
    </row>
    <row r="247" spans="3:7" ht="12.75">
      <c r="C247" s="3"/>
      <c r="D247" s="3"/>
      <c r="E247" s="3"/>
      <c r="F247" s="750"/>
      <c r="G247" s="3"/>
    </row>
    <row r="248" spans="3:7" ht="12.75">
      <c r="C248" s="3"/>
      <c r="D248" s="3"/>
      <c r="E248" s="3"/>
      <c r="F248" s="750"/>
      <c r="G248" s="3"/>
    </row>
    <row r="249" spans="3:7" ht="12.75">
      <c r="C249" s="3"/>
      <c r="D249" s="3"/>
      <c r="E249" s="3"/>
      <c r="F249" s="750"/>
      <c r="G249" s="3"/>
    </row>
    <row r="250" spans="3:7" ht="12.75">
      <c r="C250" s="3"/>
      <c r="D250" s="3"/>
      <c r="E250" s="3"/>
      <c r="F250" s="750"/>
      <c r="G250" s="3"/>
    </row>
    <row r="251" spans="3:7" ht="12.75">
      <c r="C251" s="3"/>
      <c r="D251" s="3"/>
      <c r="E251" s="3"/>
      <c r="F251" s="750"/>
      <c r="G251" s="3"/>
    </row>
    <row r="252" spans="3:7" ht="12.75">
      <c r="C252" s="3"/>
      <c r="D252" s="3"/>
      <c r="E252" s="3"/>
      <c r="F252" s="750"/>
      <c r="G252" s="3"/>
    </row>
    <row r="253" spans="3:7" ht="12.75">
      <c r="C253" s="3"/>
      <c r="D253" s="3"/>
      <c r="E253" s="3"/>
      <c r="F253" s="750"/>
      <c r="G253" s="3"/>
    </row>
    <row r="254" spans="3:7" ht="12.75">
      <c r="C254" s="3"/>
      <c r="D254" s="3"/>
      <c r="E254" s="3"/>
      <c r="F254" s="750"/>
      <c r="G254" s="3"/>
    </row>
    <row r="255" spans="3:7" ht="12.75">
      <c r="C255" s="3"/>
      <c r="D255" s="3"/>
      <c r="E255" s="3"/>
      <c r="F255" s="750"/>
      <c r="G255" s="3"/>
    </row>
    <row r="256" spans="3:7" ht="12.75">
      <c r="C256" s="3"/>
      <c r="D256" s="3"/>
      <c r="E256" s="3"/>
      <c r="F256" s="750"/>
      <c r="G256" s="3"/>
    </row>
    <row r="257" spans="3:7" ht="12.75">
      <c r="C257" s="3"/>
      <c r="D257" s="3"/>
      <c r="E257" s="3"/>
      <c r="F257" s="750"/>
      <c r="G257" s="3"/>
    </row>
    <row r="258" spans="3:7" ht="12.75">
      <c r="C258" s="3"/>
      <c r="D258" s="3"/>
      <c r="E258" s="3"/>
      <c r="F258" s="750"/>
      <c r="G258" s="3"/>
    </row>
    <row r="259" spans="3:7" ht="12.75">
      <c r="C259" s="3"/>
      <c r="D259" s="3"/>
      <c r="E259" s="3"/>
      <c r="F259" s="750"/>
      <c r="G259" s="3"/>
    </row>
    <row r="260" spans="3:7" ht="12.75">
      <c r="C260" s="3"/>
      <c r="D260" s="3"/>
      <c r="E260" s="3"/>
      <c r="F260" s="750"/>
      <c r="G260" s="3"/>
    </row>
    <row r="261" spans="3:7" ht="12.75">
      <c r="C261" s="3"/>
      <c r="D261" s="3"/>
      <c r="E261" s="3"/>
      <c r="F261" s="750"/>
      <c r="G261" s="3"/>
    </row>
    <row r="262" spans="3:7" ht="12.75">
      <c r="C262" s="3"/>
      <c r="D262" s="3"/>
      <c r="E262" s="3"/>
      <c r="F262" s="750"/>
      <c r="G262" s="3"/>
    </row>
    <row r="263" spans="3:7" ht="12.75">
      <c r="C263" s="3"/>
      <c r="D263" s="3"/>
      <c r="E263" s="3"/>
      <c r="F263" s="750"/>
      <c r="G263" s="3"/>
    </row>
    <row r="264" spans="3:7" ht="12.75">
      <c r="C264" s="3"/>
      <c r="D264" s="3"/>
      <c r="E264" s="3"/>
      <c r="F264" s="750"/>
      <c r="G264" s="3"/>
    </row>
    <row r="265" spans="3:7" ht="12.75">
      <c r="C265" s="3"/>
      <c r="D265" s="3"/>
      <c r="E265" s="3"/>
      <c r="F265" s="750"/>
      <c r="G265" s="3"/>
    </row>
    <row r="266" spans="3:7" ht="12.75">
      <c r="C266" s="3"/>
      <c r="D266" s="3"/>
      <c r="E266" s="3"/>
      <c r="F266" s="750"/>
      <c r="G266" s="3"/>
    </row>
    <row r="267" spans="3:7" ht="12.75">
      <c r="C267" s="3"/>
      <c r="D267" s="3"/>
      <c r="E267" s="3"/>
      <c r="F267" s="750"/>
      <c r="G267" s="3"/>
    </row>
    <row r="268" spans="3:7" ht="12.75">
      <c r="C268" s="3"/>
      <c r="D268" s="3"/>
      <c r="E268" s="3"/>
      <c r="F268" s="750"/>
      <c r="G268" s="3"/>
    </row>
    <row r="269" spans="3:7" ht="12.75">
      <c r="C269" s="3"/>
      <c r="D269" s="3"/>
      <c r="E269" s="3"/>
      <c r="F269" s="750"/>
      <c r="G269" s="3"/>
    </row>
    <row r="270" spans="3:7" ht="12.75">
      <c r="C270" s="3"/>
      <c r="D270" s="3"/>
      <c r="E270" s="3"/>
      <c r="F270" s="750"/>
      <c r="G270" s="3"/>
    </row>
    <row r="271" spans="3:7" ht="12.75">
      <c r="C271" s="3"/>
      <c r="D271" s="3"/>
      <c r="E271" s="3"/>
      <c r="F271" s="750"/>
      <c r="G271" s="3"/>
    </row>
    <row r="272" spans="3:7" ht="12.75">
      <c r="C272" s="3"/>
      <c r="D272" s="3"/>
      <c r="E272" s="3"/>
      <c r="F272" s="750"/>
      <c r="G272" s="3"/>
    </row>
    <row r="273" spans="3:7" ht="12.75">
      <c r="C273" s="3"/>
      <c r="D273" s="3"/>
      <c r="E273" s="3"/>
      <c r="F273" s="750"/>
      <c r="G273" s="3"/>
    </row>
    <row r="274" spans="3:7" ht="12.75">
      <c r="C274" s="3"/>
      <c r="D274" s="3"/>
      <c r="E274" s="3"/>
      <c r="F274" s="750"/>
      <c r="G274" s="3"/>
    </row>
    <row r="275" spans="3:7" ht="12.75">
      <c r="C275" s="3"/>
      <c r="D275" s="3"/>
      <c r="E275" s="3"/>
      <c r="F275" s="750"/>
      <c r="G275" s="3"/>
    </row>
    <row r="276" spans="3:7" ht="12.75">
      <c r="C276" s="3"/>
      <c r="D276" s="3"/>
      <c r="E276" s="3"/>
      <c r="F276" s="750"/>
      <c r="G276" s="3"/>
    </row>
    <row r="277" spans="3:7" ht="12.75">
      <c r="C277" s="3"/>
      <c r="D277" s="3"/>
      <c r="E277" s="3"/>
      <c r="F277" s="750"/>
      <c r="G277" s="3"/>
    </row>
    <row r="278" spans="3:7" ht="12.75">
      <c r="C278" s="3"/>
      <c r="D278" s="3"/>
      <c r="E278" s="3"/>
      <c r="F278" s="750"/>
      <c r="G278" s="3"/>
    </row>
    <row r="279" spans="3:7" ht="12.75">
      <c r="C279" s="3"/>
      <c r="D279" s="3"/>
      <c r="E279" s="3"/>
      <c r="F279" s="750"/>
      <c r="G279" s="3"/>
    </row>
    <row r="280" spans="3:7" ht="12.75">
      <c r="C280" s="3"/>
      <c r="D280" s="3"/>
      <c r="E280" s="3"/>
      <c r="F280" s="750"/>
      <c r="G280" s="3"/>
    </row>
    <row r="281" spans="3:7" ht="12.75">
      <c r="C281" s="3"/>
      <c r="D281" s="3"/>
      <c r="E281" s="3"/>
      <c r="F281" s="750"/>
      <c r="G281" s="3"/>
    </row>
    <row r="282" spans="3:7" ht="12.75">
      <c r="C282" s="3"/>
      <c r="D282" s="3"/>
      <c r="E282" s="3"/>
      <c r="F282" s="750"/>
      <c r="G282" s="3"/>
    </row>
    <row r="283" spans="3:7" ht="12.75">
      <c r="C283" s="3"/>
      <c r="D283" s="3"/>
      <c r="E283" s="3"/>
      <c r="F283" s="750"/>
      <c r="G283" s="3"/>
    </row>
    <row r="284" spans="3:7" ht="12.75">
      <c r="C284" s="3"/>
      <c r="D284" s="3"/>
      <c r="E284" s="3"/>
      <c r="F284" s="750"/>
      <c r="G284" s="3"/>
    </row>
    <row r="285" spans="3:7" ht="12.75">
      <c r="C285" s="3"/>
      <c r="D285" s="3"/>
      <c r="E285" s="3"/>
      <c r="F285" s="750"/>
      <c r="G285" s="3"/>
    </row>
    <row r="286" spans="3:7" ht="12.75">
      <c r="C286" s="3"/>
      <c r="D286" s="3"/>
      <c r="E286" s="3"/>
      <c r="F286" s="750"/>
      <c r="G286" s="3"/>
    </row>
    <row r="287" spans="3:7" ht="12.75">
      <c r="C287" s="3"/>
      <c r="D287" s="3"/>
      <c r="E287" s="3"/>
      <c r="F287" s="750"/>
      <c r="G287" s="3"/>
    </row>
    <row r="288" spans="3:7" ht="12.75">
      <c r="C288" s="3"/>
      <c r="D288" s="3"/>
      <c r="E288" s="3"/>
      <c r="F288" s="750"/>
      <c r="G288" s="3"/>
    </row>
    <row r="289" spans="3:7" ht="12.75">
      <c r="C289" s="3"/>
      <c r="D289" s="3"/>
      <c r="E289" s="3"/>
      <c r="F289" s="750"/>
      <c r="G289" s="3"/>
    </row>
    <row r="290" spans="3:7" ht="12.75">
      <c r="C290" s="3"/>
      <c r="D290" s="3"/>
      <c r="E290" s="3"/>
      <c r="F290" s="750"/>
      <c r="G290" s="3"/>
    </row>
    <row r="291" spans="3:7" ht="12.75">
      <c r="C291" s="3"/>
      <c r="D291" s="3"/>
      <c r="E291" s="3"/>
      <c r="F291" s="750"/>
      <c r="G291" s="3"/>
    </row>
    <row r="292" spans="3:7" ht="12.75">
      <c r="C292" s="3"/>
      <c r="D292" s="3"/>
      <c r="E292" s="3"/>
      <c r="F292" s="750"/>
      <c r="G292" s="3"/>
    </row>
    <row r="293" spans="3:7" ht="12.75">
      <c r="C293" s="3"/>
      <c r="D293" s="3"/>
      <c r="E293" s="3"/>
      <c r="F293" s="750"/>
      <c r="G293" s="3"/>
    </row>
    <row r="294" spans="3:7" ht="12.75">
      <c r="C294" s="3"/>
      <c r="D294" s="3"/>
      <c r="E294" s="3"/>
      <c r="F294" s="750"/>
      <c r="G294" s="3"/>
    </row>
    <row r="295" spans="3:7" ht="12.75">
      <c r="C295" s="3"/>
      <c r="D295" s="3"/>
      <c r="E295" s="3"/>
      <c r="F295" s="750"/>
      <c r="G295" s="3"/>
    </row>
    <row r="296" spans="3:7" ht="12.75">
      <c r="C296" s="3"/>
      <c r="D296" s="3"/>
      <c r="E296" s="3"/>
      <c r="F296" s="750"/>
      <c r="G296" s="3"/>
    </row>
    <row r="297" spans="3:7" ht="12.75">
      <c r="C297" s="3"/>
      <c r="D297" s="3"/>
      <c r="E297" s="3"/>
      <c r="F297" s="750"/>
      <c r="G297" s="3"/>
    </row>
    <row r="298" spans="3:7" ht="12.75">
      <c r="C298" s="3"/>
      <c r="D298" s="3"/>
      <c r="E298" s="3"/>
      <c r="F298" s="750"/>
      <c r="G298" s="3"/>
    </row>
    <row r="299" spans="3:7" ht="12.75">
      <c r="C299" s="3"/>
      <c r="D299" s="3"/>
      <c r="E299" s="3"/>
      <c r="F299" s="750"/>
      <c r="G299" s="3"/>
    </row>
    <row r="300" spans="3:7" ht="12.75">
      <c r="C300" s="3"/>
      <c r="D300" s="3"/>
      <c r="E300" s="3"/>
      <c r="F300" s="750"/>
      <c r="G300" s="3"/>
    </row>
    <row r="301" spans="3:7" ht="12.75">
      <c r="C301" s="3"/>
      <c r="D301" s="3"/>
      <c r="E301" s="3"/>
      <c r="F301" s="750"/>
      <c r="G301" s="3"/>
    </row>
    <row r="302" spans="3:7" ht="12.75">
      <c r="C302" s="3"/>
      <c r="D302" s="3"/>
      <c r="E302" s="3"/>
      <c r="F302" s="750"/>
      <c r="G302" s="3"/>
    </row>
    <row r="303" spans="3:7" ht="12.75">
      <c r="C303" s="3"/>
      <c r="D303" s="3"/>
      <c r="E303" s="3"/>
      <c r="F303" s="750"/>
      <c r="G303" s="3"/>
    </row>
    <row r="304" spans="3:7" ht="12.75">
      <c r="C304" s="3"/>
      <c r="D304" s="3"/>
      <c r="E304" s="3"/>
      <c r="F304" s="750"/>
      <c r="G304" s="3"/>
    </row>
    <row r="305" spans="3:7" ht="12.75">
      <c r="C305" s="3"/>
      <c r="D305" s="3"/>
      <c r="E305" s="3"/>
      <c r="F305" s="750"/>
      <c r="G305" s="3"/>
    </row>
    <row r="306" spans="3:7" ht="12.75">
      <c r="C306" s="3"/>
      <c r="D306" s="3"/>
      <c r="E306" s="3"/>
      <c r="F306" s="750"/>
      <c r="G306" s="3"/>
    </row>
    <row r="307" spans="3:7" ht="12.75">
      <c r="C307" s="3"/>
      <c r="D307" s="3"/>
      <c r="E307" s="3"/>
      <c r="F307" s="750"/>
      <c r="G307" s="3"/>
    </row>
    <row r="308" spans="3:7" ht="12.75">
      <c r="C308" s="3"/>
      <c r="D308" s="3"/>
      <c r="E308" s="3"/>
      <c r="F308" s="750"/>
      <c r="G308" s="3"/>
    </row>
    <row r="309" spans="3:7" ht="12.75">
      <c r="C309" s="3"/>
      <c r="D309" s="3"/>
      <c r="E309" s="3"/>
      <c r="F309" s="750"/>
      <c r="G309" s="3"/>
    </row>
    <row r="310" spans="3:7" ht="12.75">
      <c r="C310" s="3"/>
      <c r="D310" s="3"/>
      <c r="E310" s="3"/>
      <c r="F310" s="750"/>
      <c r="G310" s="3"/>
    </row>
    <row r="311" spans="3:7" ht="12.75">
      <c r="C311" s="3"/>
      <c r="D311" s="3"/>
      <c r="E311" s="3"/>
      <c r="F311" s="750"/>
      <c r="G311" s="3"/>
    </row>
    <row r="312" spans="3:7" ht="12.75">
      <c r="C312" s="3"/>
      <c r="D312" s="3"/>
      <c r="E312" s="3"/>
      <c r="F312" s="750"/>
      <c r="G312" s="3"/>
    </row>
    <row r="313" spans="3:7" ht="12.75">
      <c r="C313" s="3"/>
      <c r="D313" s="3"/>
      <c r="E313" s="3"/>
      <c r="F313" s="750"/>
      <c r="G313" s="3"/>
    </row>
    <row r="314" spans="3:7" ht="12.75">
      <c r="C314" s="3"/>
      <c r="D314" s="3"/>
      <c r="E314" s="3"/>
      <c r="F314" s="750"/>
      <c r="G314" s="3"/>
    </row>
    <row r="315" spans="3:7" ht="12.75">
      <c r="C315" s="3"/>
      <c r="D315" s="3"/>
      <c r="E315" s="3"/>
      <c r="F315" s="750"/>
      <c r="G315" s="3"/>
    </row>
    <row r="316" spans="3:7" ht="12.75">
      <c r="C316" s="3"/>
      <c r="D316" s="3"/>
      <c r="E316" s="3"/>
      <c r="F316" s="750"/>
      <c r="G316" s="3"/>
    </row>
    <row r="317" spans="3:7" ht="12.75">
      <c r="C317" s="3"/>
      <c r="D317" s="3"/>
      <c r="E317" s="3"/>
      <c r="F317" s="750"/>
      <c r="G317" s="3"/>
    </row>
    <row r="318" spans="3:7" ht="12.75">
      <c r="C318" s="3"/>
      <c r="D318" s="3"/>
      <c r="E318" s="3"/>
      <c r="F318" s="750"/>
      <c r="G318" s="3"/>
    </row>
    <row r="319" spans="3:7" ht="12.75">
      <c r="C319" s="3"/>
      <c r="D319" s="3"/>
      <c r="E319" s="3"/>
      <c r="F319" s="750"/>
      <c r="G319" s="3"/>
    </row>
    <row r="320" spans="3:7" ht="12.75">
      <c r="C320" s="3"/>
      <c r="D320" s="3"/>
      <c r="E320" s="3"/>
      <c r="F320" s="750"/>
      <c r="G320" s="3"/>
    </row>
    <row r="321" spans="3:7" ht="12.75">
      <c r="C321" s="3"/>
      <c r="D321" s="3"/>
      <c r="E321" s="3"/>
      <c r="F321" s="750"/>
      <c r="G321" s="3"/>
    </row>
    <row r="322" spans="3:7" ht="12.75">
      <c r="C322" s="3"/>
      <c r="D322" s="3"/>
      <c r="E322" s="3"/>
      <c r="F322" s="750"/>
      <c r="G322" s="3"/>
    </row>
    <row r="323" spans="3:7" ht="12.75">
      <c r="C323" s="3"/>
      <c r="D323" s="3"/>
      <c r="E323" s="3"/>
      <c r="F323" s="750"/>
      <c r="G323" s="3"/>
    </row>
    <row r="324" spans="3:7" ht="12.75">
      <c r="C324" s="3"/>
      <c r="D324" s="3"/>
      <c r="E324" s="3"/>
      <c r="F324" s="750"/>
      <c r="G324" s="3"/>
    </row>
    <row r="325" spans="3:7" ht="12.75">
      <c r="C325" s="3"/>
      <c r="D325" s="3"/>
      <c r="E325" s="3"/>
      <c r="F325" s="750"/>
      <c r="G325" s="3"/>
    </row>
    <row r="326" spans="3:7" ht="12.75">
      <c r="C326" s="3"/>
      <c r="D326" s="3"/>
      <c r="E326" s="3"/>
      <c r="F326" s="750"/>
      <c r="G326" s="3"/>
    </row>
    <row r="327" spans="3:7" ht="12.75">
      <c r="C327" s="3"/>
      <c r="D327" s="3"/>
      <c r="E327" s="3"/>
      <c r="F327" s="750"/>
      <c r="G327" s="3"/>
    </row>
    <row r="328" spans="3:7" ht="12.75">
      <c r="C328" s="3"/>
      <c r="D328" s="3"/>
      <c r="E328" s="3"/>
      <c r="F328" s="750"/>
      <c r="G328" s="3"/>
    </row>
    <row r="329" spans="3:7" ht="12.75">
      <c r="C329" s="3"/>
      <c r="D329" s="3"/>
      <c r="E329" s="3"/>
      <c r="F329" s="750"/>
      <c r="G329" s="3"/>
    </row>
    <row r="330" spans="3:7" ht="12.75">
      <c r="C330" s="3"/>
      <c r="D330" s="3"/>
      <c r="E330" s="3"/>
      <c r="F330" s="750"/>
      <c r="G330" s="3"/>
    </row>
    <row r="331" spans="3:7" ht="12.75">
      <c r="C331" s="3"/>
      <c r="D331" s="3"/>
      <c r="E331" s="3"/>
      <c r="F331" s="750"/>
      <c r="G331" s="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G1">
      <selection activeCell="P4" sqref="P4"/>
    </sheetView>
  </sheetViews>
  <sheetFormatPr defaultColWidth="9.00390625" defaultRowHeight="12.75"/>
  <cols>
    <col min="1" max="1" width="34.25390625" style="0" customWidth="1"/>
    <col min="2" max="2" width="14.375" style="0" bestFit="1" customWidth="1"/>
    <col min="3" max="3" width="12.375" style="0" customWidth="1"/>
    <col min="4" max="4" width="17.125" style="0" bestFit="1" customWidth="1"/>
    <col min="5" max="5" width="16.00390625" style="0" customWidth="1"/>
    <col min="6" max="6" width="14.375" style="0" bestFit="1" customWidth="1"/>
    <col min="7" max="7" width="17.375" style="0" bestFit="1" customWidth="1"/>
    <col min="8" max="8" width="17.75390625" style="0" customWidth="1"/>
    <col min="9" max="9" width="15.25390625" style="0" customWidth="1"/>
    <col min="10" max="10" width="12.625" style="0" customWidth="1"/>
    <col min="11" max="11" width="12.75390625" style="0" bestFit="1" customWidth="1"/>
    <col min="12" max="12" width="16.875" style="0" bestFit="1" customWidth="1"/>
    <col min="13" max="13" width="15.625" style="0" customWidth="1"/>
    <col min="14" max="14" width="17.125" style="0" customWidth="1"/>
  </cols>
  <sheetData>
    <row r="2" spans="1:14" s="831" customFormat="1" ht="23.25">
      <c r="A2" s="831" t="s">
        <v>1104</v>
      </c>
      <c r="B2" s="832"/>
      <c r="C2" s="832"/>
      <c r="D2" s="832"/>
      <c r="E2" s="832"/>
      <c r="F2" s="832"/>
      <c r="G2" s="832"/>
      <c r="H2" s="832"/>
      <c r="I2" s="832"/>
      <c r="J2" s="832"/>
      <c r="N2" s="885" t="s">
        <v>1138</v>
      </c>
    </row>
    <row r="3" spans="2:14" s="831" customFormat="1" ht="24" thickBot="1">
      <c r="B3" s="832"/>
      <c r="C3" s="832"/>
      <c r="D3" s="832"/>
      <c r="E3" s="832"/>
      <c r="F3" s="832"/>
      <c r="G3" s="832"/>
      <c r="H3" s="832"/>
      <c r="I3" s="832"/>
      <c r="J3" s="832"/>
      <c r="N3" s="833"/>
    </row>
    <row r="4" spans="2:14" s="834" customFormat="1" ht="39" customHeight="1" thickBot="1">
      <c r="B4" s="876" t="s">
        <v>1136</v>
      </c>
      <c r="C4" s="874"/>
      <c r="D4" s="874"/>
      <c r="E4" s="874"/>
      <c r="F4" s="874"/>
      <c r="G4" s="874"/>
      <c r="H4" s="874"/>
      <c r="I4" s="874"/>
      <c r="J4" s="874"/>
      <c r="K4" s="876" t="s">
        <v>1137</v>
      </c>
      <c r="L4" s="874"/>
      <c r="M4" s="874"/>
      <c r="N4" s="875"/>
    </row>
    <row r="5" spans="1:14" s="834" customFormat="1" ht="48.75" customHeight="1" thickBot="1">
      <c r="A5" s="835" t="s">
        <v>1105</v>
      </c>
      <c r="B5" s="836" t="s">
        <v>1106</v>
      </c>
      <c r="C5" s="837" t="s">
        <v>1107</v>
      </c>
      <c r="D5" s="838" t="s">
        <v>1108</v>
      </c>
      <c r="E5" s="839" t="s">
        <v>1109</v>
      </c>
      <c r="F5" s="840" t="s">
        <v>1110</v>
      </c>
      <c r="G5" s="836" t="s">
        <v>1111</v>
      </c>
      <c r="H5" s="841" t="s">
        <v>1112</v>
      </c>
      <c r="I5" s="841" t="s">
        <v>1113</v>
      </c>
      <c r="J5" s="842" t="s">
        <v>1114</v>
      </c>
      <c r="K5" s="878" t="s">
        <v>1115</v>
      </c>
      <c r="L5" s="843" t="s">
        <v>1116</v>
      </c>
      <c r="M5" s="844" t="s">
        <v>1117</v>
      </c>
      <c r="N5" s="879" t="s">
        <v>1118</v>
      </c>
    </row>
    <row r="6" spans="1:14" s="834" customFormat="1" ht="24.75" customHeight="1">
      <c r="A6" s="845" t="s">
        <v>1119</v>
      </c>
      <c r="B6" s="846">
        <v>3897253</v>
      </c>
      <c r="C6" s="847"/>
      <c r="D6" s="847">
        <v>1130000</v>
      </c>
      <c r="E6" s="848"/>
      <c r="F6" s="849">
        <f>SUM(B6+D6)</f>
        <v>5027253</v>
      </c>
      <c r="G6" s="846">
        <v>469000</v>
      </c>
      <c r="H6" s="847">
        <v>151040</v>
      </c>
      <c r="I6" s="847">
        <v>0</v>
      </c>
      <c r="J6" s="848"/>
      <c r="K6" s="880">
        <v>1973122</v>
      </c>
      <c r="L6" s="850">
        <v>166625</v>
      </c>
      <c r="M6" s="851">
        <f>SUM(K6+L6)</f>
        <v>2139747</v>
      </c>
      <c r="N6" s="881">
        <v>100000</v>
      </c>
    </row>
    <row r="7" spans="1:14" s="834" customFormat="1" ht="24.75" customHeight="1">
      <c r="A7" s="852" t="s">
        <v>1120</v>
      </c>
      <c r="B7" s="853">
        <v>1379040</v>
      </c>
      <c r="C7" s="346"/>
      <c r="D7" s="346">
        <v>230000</v>
      </c>
      <c r="E7" s="854"/>
      <c r="F7" s="855">
        <f aca="true" t="shared" si="0" ref="F7:F24">SUM(B7+D7)</f>
        <v>1609040</v>
      </c>
      <c r="G7" s="853">
        <v>541000</v>
      </c>
      <c r="H7" s="346">
        <v>34880</v>
      </c>
      <c r="I7" s="346">
        <v>0</v>
      </c>
      <c r="J7" s="854"/>
      <c r="K7" s="872">
        <v>1046671</v>
      </c>
      <c r="L7" s="856">
        <v>67670</v>
      </c>
      <c r="M7" s="851">
        <f aca="true" t="shared" si="1" ref="M7:M24">SUM(K7+L7)</f>
        <v>1114341</v>
      </c>
      <c r="N7" s="873">
        <v>76255</v>
      </c>
    </row>
    <row r="8" spans="1:14" s="834" customFormat="1" ht="24.75" customHeight="1">
      <c r="A8" s="852" t="s">
        <v>1121</v>
      </c>
      <c r="B8" s="853">
        <v>3655076</v>
      </c>
      <c r="C8" s="346">
        <v>38580</v>
      </c>
      <c r="D8" s="346">
        <v>540000</v>
      </c>
      <c r="E8" s="854"/>
      <c r="F8" s="855">
        <f t="shared" si="0"/>
        <v>4195076</v>
      </c>
      <c r="G8" s="853">
        <v>0</v>
      </c>
      <c r="H8" s="346">
        <v>104320</v>
      </c>
      <c r="I8" s="346">
        <v>0</v>
      </c>
      <c r="J8" s="854"/>
      <c r="K8" s="872">
        <v>886840</v>
      </c>
      <c r="L8" s="856">
        <v>47764</v>
      </c>
      <c r="M8" s="851">
        <f t="shared" si="1"/>
        <v>934604</v>
      </c>
      <c r="N8" s="873">
        <v>0</v>
      </c>
    </row>
    <row r="9" spans="1:14" s="834" customFormat="1" ht="24.75" customHeight="1">
      <c r="A9" s="852" t="s">
        <v>1122</v>
      </c>
      <c r="B9" s="853">
        <v>4300309</v>
      </c>
      <c r="C9" s="346"/>
      <c r="D9" s="346">
        <v>1255000</v>
      </c>
      <c r="E9" s="854">
        <v>350000</v>
      </c>
      <c r="F9" s="855">
        <f t="shared" si="0"/>
        <v>5555309</v>
      </c>
      <c r="G9" s="853">
        <v>1148000</v>
      </c>
      <c r="H9" s="346">
        <v>106720</v>
      </c>
      <c r="I9" s="346">
        <v>0</v>
      </c>
      <c r="J9" s="854"/>
      <c r="K9" s="872">
        <v>2341787</v>
      </c>
      <c r="L9" s="856">
        <v>213650</v>
      </c>
      <c r="M9" s="851">
        <f t="shared" si="1"/>
        <v>2555437</v>
      </c>
      <c r="N9" s="873">
        <v>159442.2</v>
      </c>
    </row>
    <row r="10" spans="1:14" s="834" customFormat="1" ht="24.75" customHeight="1">
      <c r="A10" s="852" t="s">
        <v>1044</v>
      </c>
      <c r="B10" s="853">
        <v>13562276</v>
      </c>
      <c r="C10" s="346">
        <v>71400</v>
      </c>
      <c r="D10" s="346">
        <v>2560000</v>
      </c>
      <c r="E10" s="854">
        <v>30000</v>
      </c>
      <c r="F10" s="855">
        <f t="shared" si="0"/>
        <v>16122276</v>
      </c>
      <c r="G10" s="853">
        <v>613000</v>
      </c>
      <c r="H10" s="346">
        <v>377120</v>
      </c>
      <c r="I10" s="346">
        <v>45000</v>
      </c>
      <c r="J10" s="854">
        <v>350000</v>
      </c>
      <c r="K10" s="872">
        <v>2461932</v>
      </c>
      <c r="L10" s="856">
        <v>120100</v>
      </c>
      <c r="M10" s="851">
        <f t="shared" si="1"/>
        <v>2582032</v>
      </c>
      <c r="N10" s="873">
        <v>372773.5</v>
      </c>
    </row>
    <row r="11" spans="1:14" s="834" customFormat="1" ht="24.75" customHeight="1">
      <c r="A11" s="852" t="s">
        <v>1123</v>
      </c>
      <c r="B11" s="853">
        <v>6401608</v>
      </c>
      <c r="C11" s="346"/>
      <c r="D11" s="346">
        <v>1509000</v>
      </c>
      <c r="E11" s="854">
        <v>884000</v>
      </c>
      <c r="F11" s="855">
        <f t="shared" si="0"/>
        <v>7910608</v>
      </c>
      <c r="G11" s="853">
        <v>700000</v>
      </c>
      <c r="H11" s="346">
        <v>223520</v>
      </c>
      <c r="I11" s="346">
        <v>75003</v>
      </c>
      <c r="J11" s="854"/>
      <c r="K11" s="872">
        <v>1164245</v>
      </c>
      <c r="L11" s="856">
        <v>174235</v>
      </c>
      <c r="M11" s="851">
        <f t="shared" si="1"/>
        <v>1338480</v>
      </c>
      <c r="N11" s="873">
        <v>141076</v>
      </c>
    </row>
    <row r="12" spans="1:14" s="834" customFormat="1" ht="24.75" customHeight="1">
      <c r="A12" s="852" t="s">
        <v>1124</v>
      </c>
      <c r="B12" s="853">
        <v>11282097</v>
      </c>
      <c r="C12" s="346">
        <v>54060</v>
      </c>
      <c r="D12" s="346">
        <v>2755000</v>
      </c>
      <c r="E12" s="854">
        <v>900000</v>
      </c>
      <c r="F12" s="855">
        <f t="shared" si="0"/>
        <v>14037097</v>
      </c>
      <c r="G12" s="853">
        <v>0</v>
      </c>
      <c r="H12" s="346">
        <v>384320</v>
      </c>
      <c r="I12" s="346">
        <v>0</v>
      </c>
      <c r="J12" s="854"/>
      <c r="K12" s="872">
        <v>2934307</v>
      </c>
      <c r="L12" s="856">
        <v>120240</v>
      </c>
      <c r="M12" s="851">
        <f t="shared" si="1"/>
        <v>3054547</v>
      </c>
      <c r="N12" s="873">
        <v>114563.8</v>
      </c>
    </row>
    <row r="13" spans="1:14" s="834" customFormat="1" ht="24.75" customHeight="1">
      <c r="A13" s="852" t="s">
        <v>1125</v>
      </c>
      <c r="B13" s="853">
        <v>14682230</v>
      </c>
      <c r="C13" s="346"/>
      <c r="D13" s="346">
        <v>8024244</v>
      </c>
      <c r="E13" s="854">
        <v>5854244</v>
      </c>
      <c r="F13" s="855">
        <f t="shared" si="0"/>
        <v>22706474</v>
      </c>
      <c r="G13" s="853">
        <v>380756</v>
      </c>
      <c r="H13" s="346">
        <v>480800</v>
      </c>
      <c r="I13" s="346">
        <v>75003</v>
      </c>
      <c r="J13" s="854"/>
      <c r="K13" s="872">
        <v>3486535</v>
      </c>
      <c r="L13" s="856">
        <v>123550</v>
      </c>
      <c r="M13" s="851">
        <f t="shared" si="1"/>
        <v>3610085</v>
      </c>
      <c r="N13" s="873">
        <v>142058.7</v>
      </c>
    </row>
    <row r="14" spans="1:14" s="834" customFormat="1" ht="24.75" customHeight="1">
      <c r="A14" s="852" t="s">
        <v>1126</v>
      </c>
      <c r="B14" s="853">
        <v>12243424</v>
      </c>
      <c r="C14" s="346"/>
      <c r="D14" s="346">
        <v>2495000</v>
      </c>
      <c r="E14" s="854">
        <v>30000</v>
      </c>
      <c r="F14" s="855">
        <f t="shared" si="0"/>
        <v>14738424</v>
      </c>
      <c r="G14" s="853">
        <v>1113000</v>
      </c>
      <c r="H14" s="346">
        <v>416000</v>
      </c>
      <c r="I14" s="346">
        <v>75003</v>
      </c>
      <c r="J14" s="854">
        <v>100000</v>
      </c>
      <c r="K14" s="872">
        <v>2720986</v>
      </c>
      <c r="L14" s="856">
        <v>120630</v>
      </c>
      <c r="M14" s="851">
        <f t="shared" si="1"/>
        <v>2841616</v>
      </c>
      <c r="N14" s="873">
        <v>467884</v>
      </c>
    </row>
    <row r="15" spans="1:14" s="834" customFormat="1" ht="24.75" customHeight="1">
      <c r="A15" s="852" t="s">
        <v>1049</v>
      </c>
      <c r="B15" s="853">
        <v>14258227</v>
      </c>
      <c r="C15" s="346">
        <v>36400</v>
      </c>
      <c r="D15" s="346">
        <v>3330000</v>
      </c>
      <c r="E15" s="854">
        <v>460000</v>
      </c>
      <c r="F15" s="855">
        <f t="shared" si="0"/>
        <v>17588227</v>
      </c>
      <c r="G15" s="853">
        <v>0</v>
      </c>
      <c r="H15" s="346">
        <v>519520</v>
      </c>
      <c r="I15" s="346">
        <v>45000</v>
      </c>
      <c r="J15" s="854">
        <v>494000</v>
      </c>
      <c r="K15" s="872">
        <v>2349404</v>
      </c>
      <c r="L15" s="856">
        <v>198760</v>
      </c>
      <c r="M15" s="851">
        <f t="shared" si="1"/>
        <v>2548164</v>
      </c>
      <c r="N15" s="873">
        <v>516992</v>
      </c>
    </row>
    <row r="16" spans="1:14" s="834" customFormat="1" ht="24.75" customHeight="1">
      <c r="A16" s="852" t="s">
        <v>1127</v>
      </c>
      <c r="B16" s="853">
        <v>13369959</v>
      </c>
      <c r="C16" s="346">
        <v>51320</v>
      </c>
      <c r="D16" s="346">
        <v>2915000</v>
      </c>
      <c r="E16" s="854">
        <v>790000</v>
      </c>
      <c r="F16" s="855">
        <f t="shared" si="0"/>
        <v>16284959</v>
      </c>
      <c r="G16" s="853">
        <v>3691244</v>
      </c>
      <c r="H16" s="346">
        <v>527520</v>
      </c>
      <c r="I16" s="346">
        <v>74998</v>
      </c>
      <c r="J16" s="854">
        <v>350000</v>
      </c>
      <c r="K16" s="872">
        <v>2903117</v>
      </c>
      <c r="L16" s="856">
        <v>160640</v>
      </c>
      <c r="M16" s="851">
        <f t="shared" si="1"/>
        <v>3063757</v>
      </c>
      <c r="N16" s="873">
        <v>45000</v>
      </c>
    </row>
    <row r="17" spans="1:14" s="834" customFormat="1" ht="24.75" customHeight="1">
      <c r="A17" s="852" t="s">
        <v>1128</v>
      </c>
      <c r="B17" s="853">
        <v>942994</v>
      </c>
      <c r="C17" s="346"/>
      <c r="D17" s="346">
        <v>390000</v>
      </c>
      <c r="E17" s="854">
        <v>0</v>
      </c>
      <c r="F17" s="855">
        <f t="shared" si="0"/>
        <v>1332994</v>
      </c>
      <c r="G17" s="853">
        <v>0</v>
      </c>
      <c r="H17" s="346">
        <v>39360</v>
      </c>
      <c r="I17" s="346">
        <v>0</v>
      </c>
      <c r="J17" s="854"/>
      <c r="K17" s="872">
        <v>195830</v>
      </c>
      <c r="L17" s="856">
        <v>18400</v>
      </c>
      <c r="M17" s="851">
        <f t="shared" si="1"/>
        <v>214230</v>
      </c>
      <c r="N17" s="873">
        <v>0</v>
      </c>
    </row>
    <row r="18" spans="1:14" s="834" customFormat="1" ht="24.75" customHeight="1">
      <c r="A18" s="852" t="s">
        <v>1129</v>
      </c>
      <c r="B18" s="853">
        <v>1646174</v>
      </c>
      <c r="C18" s="346"/>
      <c r="D18" s="346">
        <v>222000</v>
      </c>
      <c r="E18" s="854">
        <v>0</v>
      </c>
      <c r="F18" s="855">
        <f t="shared" si="0"/>
        <v>1868174</v>
      </c>
      <c r="G18" s="853">
        <v>0</v>
      </c>
      <c r="H18" s="346">
        <v>41920</v>
      </c>
      <c r="I18" s="346">
        <v>0</v>
      </c>
      <c r="J18" s="854"/>
      <c r="K18" s="872">
        <v>250799</v>
      </c>
      <c r="L18" s="856">
        <v>32160</v>
      </c>
      <c r="M18" s="851">
        <f t="shared" si="1"/>
        <v>282959</v>
      </c>
      <c r="N18" s="873">
        <v>0</v>
      </c>
    </row>
    <row r="19" spans="1:14" s="834" customFormat="1" ht="24.75" customHeight="1">
      <c r="A19" s="852" t="s">
        <v>1130</v>
      </c>
      <c r="B19" s="853">
        <v>13502045</v>
      </c>
      <c r="C19" s="346">
        <v>35800</v>
      </c>
      <c r="D19" s="346">
        <v>2970000</v>
      </c>
      <c r="E19" s="854">
        <v>0</v>
      </c>
      <c r="F19" s="855">
        <f t="shared" si="0"/>
        <v>16472045</v>
      </c>
      <c r="G19" s="853">
        <v>0</v>
      </c>
      <c r="H19" s="857">
        <v>564960</v>
      </c>
      <c r="I19" s="346">
        <v>91498</v>
      </c>
      <c r="J19" s="854"/>
      <c r="K19" s="872">
        <v>2413592</v>
      </c>
      <c r="L19" s="856">
        <v>131870</v>
      </c>
      <c r="M19" s="851">
        <f t="shared" si="1"/>
        <v>2545462</v>
      </c>
      <c r="N19" s="873">
        <v>132682</v>
      </c>
    </row>
    <row r="20" spans="1:14" s="834" customFormat="1" ht="24.75" customHeight="1">
      <c r="A20" s="852" t="s">
        <v>1131</v>
      </c>
      <c r="B20" s="853">
        <v>6565990</v>
      </c>
      <c r="C20" s="346"/>
      <c r="D20" s="346">
        <v>2825000</v>
      </c>
      <c r="E20" s="854">
        <v>2110000</v>
      </c>
      <c r="F20" s="855">
        <f t="shared" si="0"/>
        <v>9390990</v>
      </c>
      <c r="G20" s="853">
        <v>2100000</v>
      </c>
      <c r="H20" s="857">
        <v>166080</v>
      </c>
      <c r="I20" s="346">
        <v>0</v>
      </c>
      <c r="J20" s="854"/>
      <c r="K20" s="872">
        <v>978144</v>
      </c>
      <c r="L20" s="856">
        <v>306800</v>
      </c>
      <c r="M20" s="851">
        <f t="shared" si="1"/>
        <v>1284944</v>
      </c>
      <c r="N20" s="873">
        <v>86000</v>
      </c>
    </row>
    <row r="21" spans="1:14" s="834" customFormat="1" ht="24.75" customHeight="1">
      <c r="A21" s="852" t="s">
        <v>1132</v>
      </c>
      <c r="B21" s="853">
        <v>12110302</v>
      </c>
      <c r="C21" s="346"/>
      <c r="D21" s="346">
        <v>4505583</v>
      </c>
      <c r="E21" s="854">
        <v>2715000</v>
      </c>
      <c r="F21" s="855">
        <f t="shared" si="0"/>
        <v>16615885</v>
      </c>
      <c r="G21" s="853">
        <v>6534000</v>
      </c>
      <c r="H21" s="346">
        <v>327520</v>
      </c>
      <c r="I21" s="346">
        <v>0</v>
      </c>
      <c r="J21" s="854">
        <v>5280</v>
      </c>
      <c r="K21" s="872">
        <v>4139205</v>
      </c>
      <c r="L21" s="856">
        <v>400730</v>
      </c>
      <c r="M21" s="851">
        <f t="shared" si="1"/>
        <v>4539935</v>
      </c>
      <c r="N21" s="873">
        <v>152000</v>
      </c>
    </row>
    <row r="22" spans="1:14" s="834" customFormat="1" ht="24.75" customHeight="1">
      <c r="A22" s="852" t="s">
        <v>1133</v>
      </c>
      <c r="B22" s="853">
        <v>9046654</v>
      </c>
      <c r="C22" s="346">
        <v>72800</v>
      </c>
      <c r="D22" s="346">
        <v>2006000</v>
      </c>
      <c r="E22" s="854">
        <v>396000</v>
      </c>
      <c r="F22" s="855">
        <f t="shared" si="0"/>
        <v>11052654</v>
      </c>
      <c r="G22" s="853">
        <v>0</v>
      </c>
      <c r="H22" s="346">
        <v>295840</v>
      </c>
      <c r="I22" s="346">
        <v>91498</v>
      </c>
      <c r="J22" s="854">
        <v>100000</v>
      </c>
      <c r="K22" s="872">
        <v>2203552</v>
      </c>
      <c r="L22" s="856">
        <v>116850</v>
      </c>
      <c r="M22" s="851">
        <f t="shared" si="1"/>
        <v>2320402</v>
      </c>
      <c r="N22" s="873">
        <v>113797</v>
      </c>
    </row>
    <row r="23" spans="1:14" s="851" customFormat="1" ht="24.75" customHeight="1">
      <c r="A23" s="852" t="s">
        <v>1134</v>
      </c>
      <c r="B23" s="853">
        <v>7437784</v>
      </c>
      <c r="C23" s="346"/>
      <c r="D23" s="346">
        <v>1510000</v>
      </c>
      <c r="E23" s="854">
        <v>0</v>
      </c>
      <c r="F23" s="855">
        <f t="shared" si="0"/>
        <v>8947784</v>
      </c>
      <c r="G23" s="853">
        <v>0</v>
      </c>
      <c r="H23" s="346">
        <v>267520</v>
      </c>
      <c r="I23" s="346">
        <v>34000</v>
      </c>
      <c r="J23" s="854"/>
      <c r="K23" s="872">
        <v>3156116</v>
      </c>
      <c r="L23" s="856">
        <v>190240</v>
      </c>
      <c r="M23" s="851">
        <f t="shared" si="1"/>
        <v>3346356</v>
      </c>
      <c r="N23" s="873">
        <v>225927</v>
      </c>
    </row>
    <row r="24" spans="1:14" s="834" customFormat="1" ht="24.75" customHeight="1" thickBot="1">
      <c r="A24" s="858" t="s">
        <v>1135</v>
      </c>
      <c r="B24" s="859">
        <v>4091289</v>
      </c>
      <c r="C24" s="860">
        <v>77160</v>
      </c>
      <c r="D24" s="860">
        <v>110000</v>
      </c>
      <c r="E24" s="861">
        <v>0</v>
      </c>
      <c r="F24" s="862">
        <f t="shared" si="0"/>
        <v>4201289</v>
      </c>
      <c r="G24" s="859">
        <v>0</v>
      </c>
      <c r="H24" s="860">
        <v>77760</v>
      </c>
      <c r="I24" s="860">
        <v>0</v>
      </c>
      <c r="J24" s="861"/>
      <c r="K24" s="882">
        <v>1114878</v>
      </c>
      <c r="L24" s="863">
        <v>31000</v>
      </c>
      <c r="M24" s="862">
        <f t="shared" si="1"/>
        <v>1145878</v>
      </c>
      <c r="N24" s="883">
        <v>0</v>
      </c>
    </row>
    <row r="25" spans="1:14" s="868" customFormat="1" ht="24.75" customHeight="1" thickBot="1">
      <c r="A25" s="864" t="s">
        <v>68</v>
      </c>
      <c r="B25" s="865">
        <f aca="true" t="shared" si="2" ref="B25:L25">SUM(B6:B24)</f>
        <v>154374731</v>
      </c>
      <c r="C25" s="866">
        <f t="shared" si="2"/>
        <v>437520</v>
      </c>
      <c r="D25" s="866">
        <f t="shared" si="2"/>
        <v>41281827</v>
      </c>
      <c r="E25" s="866">
        <f t="shared" si="2"/>
        <v>14519244</v>
      </c>
      <c r="F25" s="866">
        <f t="shared" si="2"/>
        <v>195656558</v>
      </c>
      <c r="G25" s="866">
        <f t="shared" si="2"/>
        <v>17290000</v>
      </c>
      <c r="H25" s="866">
        <f t="shared" si="2"/>
        <v>5106720</v>
      </c>
      <c r="I25" s="866">
        <f t="shared" si="2"/>
        <v>607003</v>
      </c>
      <c r="J25" s="877">
        <f t="shared" si="2"/>
        <v>1399280</v>
      </c>
      <c r="K25" s="884">
        <f t="shared" si="2"/>
        <v>38721062</v>
      </c>
      <c r="L25" s="866">
        <f t="shared" si="2"/>
        <v>2741914</v>
      </c>
      <c r="M25" s="866">
        <f>SUM(K25:L25)</f>
        <v>41462976</v>
      </c>
      <c r="N25" s="867">
        <f>SUM(N6:N24)</f>
        <v>2846451.2</v>
      </c>
    </row>
    <row r="26" spans="1:14" s="834" customFormat="1" ht="24.75" customHeight="1" thickBot="1">
      <c r="A26" s="858" t="s">
        <v>1135</v>
      </c>
      <c r="B26" s="859">
        <v>4091289</v>
      </c>
      <c r="C26" s="860">
        <v>77160</v>
      </c>
      <c r="D26" s="860">
        <v>110000</v>
      </c>
      <c r="E26" s="861">
        <v>0</v>
      </c>
      <c r="F26" s="862">
        <f>SUM(B26+D26)</f>
        <v>4201289</v>
      </c>
      <c r="G26" s="859">
        <v>0</v>
      </c>
      <c r="H26" s="860">
        <v>77760</v>
      </c>
      <c r="I26" s="860">
        <v>0</v>
      </c>
      <c r="J26" s="861"/>
      <c r="K26" s="882">
        <v>1114878</v>
      </c>
      <c r="L26" s="863">
        <v>31000</v>
      </c>
      <c r="M26" s="862">
        <f>SUM(K26+L26)</f>
        <v>1145878</v>
      </c>
      <c r="N26" s="883">
        <v>0</v>
      </c>
    </row>
    <row r="27" spans="1:14" s="868" customFormat="1" ht="24.75" customHeight="1" thickBot="1">
      <c r="A27" s="864" t="s">
        <v>68</v>
      </c>
      <c r="B27" s="865">
        <f aca="true" t="shared" si="3" ref="B27:G27">SUM(B8:B26)</f>
        <v>307564458</v>
      </c>
      <c r="C27" s="866">
        <f t="shared" si="3"/>
        <v>952200</v>
      </c>
      <c r="D27" s="866">
        <f t="shared" si="3"/>
        <v>81313654</v>
      </c>
      <c r="E27" s="866">
        <f t="shared" si="3"/>
        <v>29038488</v>
      </c>
      <c r="F27" s="866">
        <f t="shared" si="3"/>
        <v>388878112</v>
      </c>
      <c r="G27" s="866">
        <f t="shared" si="3"/>
        <v>33570000</v>
      </c>
      <c r="H27" s="866">
        <f>SUM(H8:H26)</f>
        <v>10105280</v>
      </c>
      <c r="I27" s="866">
        <f>SUM(I8:I26)</f>
        <v>1214006</v>
      </c>
      <c r="J27" s="877">
        <f>SUM(J8:J26)</f>
        <v>2798560</v>
      </c>
      <c r="K27" s="884">
        <f>SUM(K8:K26)</f>
        <v>75537209</v>
      </c>
      <c r="L27" s="866">
        <f>SUM(L8:L26)</f>
        <v>5280533</v>
      </c>
      <c r="M27" s="866">
        <f>SUM(K27:L27)</f>
        <v>80817742</v>
      </c>
      <c r="N27" s="867">
        <f>SUM(N8:N26)</f>
        <v>5516647.4</v>
      </c>
    </row>
    <row r="28" spans="2:14" s="869" customFormat="1" ht="39.75" customHeight="1">
      <c r="B28" s="870"/>
      <c r="C28" s="870"/>
      <c r="D28" s="870"/>
      <c r="E28" s="870"/>
      <c r="F28" s="870"/>
      <c r="G28" s="870"/>
      <c r="H28" s="870"/>
      <c r="I28" s="870"/>
      <c r="J28" s="870"/>
      <c r="N28" s="871"/>
    </row>
  </sheetData>
  <printOptions/>
  <pageMargins left="0.75" right="0.75" top="1" bottom="1" header="0.4921259845" footer="0.4921259845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06"/>
  <sheetViews>
    <sheetView workbookViewId="0" topLeftCell="A1">
      <selection activeCell="O29" sqref="O29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7.375" style="0" customWidth="1"/>
    <col min="4" max="4" width="8.125" style="0" customWidth="1"/>
    <col min="5" max="5" width="8.625" style="0" customWidth="1"/>
    <col min="6" max="6" width="7.875" style="0" customWidth="1"/>
    <col min="7" max="7" width="7.375" style="0" customWidth="1"/>
    <col min="8" max="8" width="6.25390625" style="0" customWidth="1"/>
    <col min="9" max="9" width="7.00390625" style="0" customWidth="1"/>
    <col min="10" max="10" width="8.00390625" style="0" customWidth="1"/>
    <col min="11" max="11" width="8.25390625" style="0" customWidth="1"/>
    <col min="12" max="12" width="8.375" style="0" customWidth="1"/>
  </cols>
  <sheetData>
    <row r="2" spans="2:12" ht="18">
      <c r="B2" s="637" t="s">
        <v>791</v>
      </c>
      <c r="C2" s="46"/>
      <c r="D2" s="46"/>
      <c r="E2" s="46"/>
      <c r="F2" s="46"/>
      <c r="G2" s="46"/>
      <c r="L2" s="62" t="s">
        <v>940</v>
      </c>
    </row>
    <row r="3" spans="1:12" ht="13.5" thickBot="1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 t="s">
        <v>1</v>
      </c>
    </row>
    <row r="4" spans="1:12" ht="12.75">
      <c r="A4" s="588" t="s">
        <v>681</v>
      </c>
      <c r="B4" s="589" t="s">
        <v>682</v>
      </c>
      <c r="C4" s="589" t="s">
        <v>683</v>
      </c>
      <c r="D4" s="589" t="s">
        <v>683</v>
      </c>
      <c r="E4" s="590" t="s">
        <v>576</v>
      </c>
      <c r="F4" s="591" t="s">
        <v>27</v>
      </c>
      <c r="G4" s="592" t="s">
        <v>576</v>
      </c>
      <c r="H4" s="593"/>
      <c r="I4" s="589" t="s">
        <v>131</v>
      </c>
      <c r="J4" s="594" t="s">
        <v>684</v>
      </c>
      <c r="K4" s="595" t="s">
        <v>450</v>
      </c>
      <c r="L4" s="596"/>
    </row>
    <row r="5" spans="1:12" ht="12.75">
      <c r="A5" s="588" t="s">
        <v>685</v>
      </c>
      <c r="B5" s="589" t="s">
        <v>686</v>
      </c>
      <c r="C5" s="589" t="s">
        <v>687</v>
      </c>
      <c r="D5" s="589" t="s">
        <v>688</v>
      </c>
      <c r="E5" s="597" t="s">
        <v>689</v>
      </c>
      <c r="F5" s="597" t="s">
        <v>690</v>
      </c>
      <c r="G5" s="598" t="s">
        <v>688</v>
      </c>
      <c r="H5" s="598" t="s">
        <v>691</v>
      </c>
      <c r="I5" s="589" t="s">
        <v>692</v>
      </c>
      <c r="J5" s="599" t="s">
        <v>107</v>
      </c>
      <c r="K5" s="599" t="s">
        <v>693</v>
      </c>
      <c r="L5" s="600" t="s">
        <v>694</v>
      </c>
    </row>
    <row r="6" spans="1:16" ht="13.5" thickBot="1">
      <c r="A6" s="601" t="s">
        <v>576</v>
      </c>
      <c r="B6" s="602" t="s">
        <v>576</v>
      </c>
      <c r="C6" s="602" t="s">
        <v>576</v>
      </c>
      <c r="D6" s="602" t="s">
        <v>576</v>
      </c>
      <c r="E6" s="602" t="s">
        <v>695</v>
      </c>
      <c r="F6" s="602" t="s">
        <v>696</v>
      </c>
      <c r="G6" s="603" t="s">
        <v>697</v>
      </c>
      <c r="H6" s="603" t="s">
        <v>688</v>
      </c>
      <c r="I6" s="602" t="s">
        <v>576</v>
      </c>
      <c r="J6" s="602" t="s">
        <v>576</v>
      </c>
      <c r="K6" s="602" t="s">
        <v>698</v>
      </c>
      <c r="L6" s="604" t="s">
        <v>699</v>
      </c>
      <c r="P6" s="605"/>
    </row>
    <row r="7" spans="1:15" ht="12.75">
      <c r="A7" s="606" t="s">
        <v>700</v>
      </c>
      <c r="B7" s="607" t="s">
        <v>701</v>
      </c>
      <c r="C7" s="608">
        <v>39</v>
      </c>
      <c r="D7" s="608">
        <v>2512</v>
      </c>
      <c r="E7" s="609">
        <v>1931</v>
      </c>
      <c r="F7" s="609">
        <v>283</v>
      </c>
      <c r="G7" s="609">
        <v>298</v>
      </c>
      <c r="H7" s="609">
        <v>0</v>
      </c>
      <c r="I7" s="609">
        <v>40</v>
      </c>
      <c r="J7" s="609">
        <v>2512</v>
      </c>
      <c r="K7" s="610">
        <v>1931</v>
      </c>
      <c r="L7" s="611">
        <v>581</v>
      </c>
      <c r="O7" s="59"/>
    </row>
    <row r="8" spans="1:12" ht="12.75">
      <c r="A8" s="612" t="s">
        <v>702</v>
      </c>
      <c r="B8" s="613" t="s">
        <v>703</v>
      </c>
      <c r="C8" s="614">
        <v>307</v>
      </c>
      <c r="D8" s="614">
        <v>3661</v>
      </c>
      <c r="E8" s="614">
        <v>2191</v>
      </c>
      <c r="F8" s="614">
        <v>1115</v>
      </c>
      <c r="G8" s="614">
        <v>279</v>
      </c>
      <c r="H8" s="614">
        <v>76</v>
      </c>
      <c r="I8" s="614">
        <v>191</v>
      </c>
      <c r="J8" s="614">
        <v>3643</v>
      </c>
      <c r="K8" s="615">
        <v>2191</v>
      </c>
      <c r="L8" s="616">
        <v>1452</v>
      </c>
    </row>
    <row r="9" spans="1:12" ht="12.75">
      <c r="A9" s="612" t="s">
        <v>704</v>
      </c>
      <c r="B9" s="613" t="s">
        <v>705</v>
      </c>
      <c r="C9" s="614">
        <v>348</v>
      </c>
      <c r="D9" s="614">
        <v>5436</v>
      </c>
      <c r="E9" s="614">
        <v>4299</v>
      </c>
      <c r="F9" s="614">
        <v>935</v>
      </c>
      <c r="G9" s="614">
        <v>202</v>
      </c>
      <c r="H9" s="614">
        <v>0</v>
      </c>
      <c r="I9" s="614">
        <v>120</v>
      </c>
      <c r="J9" s="614">
        <v>5291</v>
      </c>
      <c r="K9" s="615">
        <v>4299</v>
      </c>
      <c r="L9" s="616">
        <v>992</v>
      </c>
    </row>
    <row r="10" spans="1:12" ht="12.75">
      <c r="A10" s="612" t="s">
        <v>706</v>
      </c>
      <c r="B10" s="613" t="s">
        <v>707</v>
      </c>
      <c r="C10" s="614">
        <v>750</v>
      </c>
      <c r="D10" s="614">
        <v>8683</v>
      </c>
      <c r="E10" s="614">
        <v>5742</v>
      </c>
      <c r="F10" s="614">
        <v>2140</v>
      </c>
      <c r="G10" s="614">
        <v>701</v>
      </c>
      <c r="H10" s="614">
        <v>100</v>
      </c>
      <c r="I10" s="614">
        <v>485</v>
      </c>
      <c r="J10" s="614">
        <v>8631</v>
      </c>
      <c r="K10" s="615">
        <v>5742</v>
      </c>
      <c r="L10" s="616">
        <v>2889</v>
      </c>
    </row>
    <row r="11" spans="1:12" ht="12.75">
      <c r="A11" s="612" t="s">
        <v>708</v>
      </c>
      <c r="B11" s="613" t="s">
        <v>709</v>
      </c>
      <c r="C11" s="614">
        <v>408</v>
      </c>
      <c r="D11" s="614">
        <v>13498</v>
      </c>
      <c r="E11" s="614">
        <v>11708</v>
      </c>
      <c r="F11" s="614">
        <v>1285</v>
      </c>
      <c r="G11" s="614">
        <v>419</v>
      </c>
      <c r="H11" s="614">
        <v>86</v>
      </c>
      <c r="I11" s="614">
        <v>206</v>
      </c>
      <c r="J11" s="614">
        <v>13457</v>
      </c>
      <c r="K11" s="615">
        <v>11708</v>
      </c>
      <c r="L11" s="616">
        <v>1749</v>
      </c>
    </row>
    <row r="12" spans="1:12" ht="12.75">
      <c r="A12" s="612" t="s">
        <v>710</v>
      </c>
      <c r="B12" s="613" t="s">
        <v>711</v>
      </c>
      <c r="C12" s="614">
        <v>96</v>
      </c>
      <c r="D12" s="614">
        <v>1683</v>
      </c>
      <c r="E12" s="614">
        <v>1372</v>
      </c>
      <c r="F12" s="614">
        <v>215</v>
      </c>
      <c r="G12" s="614">
        <v>96</v>
      </c>
      <c r="H12" s="614">
        <v>0</v>
      </c>
      <c r="I12" s="614">
        <v>0</v>
      </c>
      <c r="J12" s="614">
        <v>1683</v>
      </c>
      <c r="K12" s="615">
        <v>1372</v>
      </c>
      <c r="L12" s="616">
        <v>311</v>
      </c>
    </row>
    <row r="13" spans="1:12" ht="12.75">
      <c r="A13" s="612" t="s">
        <v>712</v>
      </c>
      <c r="B13" s="613" t="s">
        <v>713</v>
      </c>
      <c r="C13" s="614">
        <v>587</v>
      </c>
      <c r="D13" s="614">
        <v>10065</v>
      </c>
      <c r="E13" s="614">
        <v>6834</v>
      </c>
      <c r="F13" s="614">
        <v>2556</v>
      </c>
      <c r="G13" s="614">
        <v>516</v>
      </c>
      <c r="H13" s="614">
        <v>159</v>
      </c>
      <c r="I13" s="614">
        <v>446</v>
      </c>
      <c r="J13" s="614">
        <v>10049</v>
      </c>
      <c r="K13" s="615">
        <v>6834</v>
      </c>
      <c r="L13" s="616">
        <v>3215</v>
      </c>
    </row>
    <row r="14" spans="1:12" ht="12.75">
      <c r="A14" s="612" t="s">
        <v>714</v>
      </c>
      <c r="B14" s="613" t="s">
        <v>715</v>
      </c>
      <c r="C14" s="614">
        <v>1112</v>
      </c>
      <c r="D14" s="614">
        <v>13970</v>
      </c>
      <c r="E14" s="614">
        <v>9334</v>
      </c>
      <c r="F14" s="614">
        <v>3346</v>
      </c>
      <c r="G14" s="614">
        <v>1064</v>
      </c>
      <c r="H14" s="614">
        <v>226</v>
      </c>
      <c r="I14" s="614">
        <v>957</v>
      </c>
      <c r="J14" s="614">
        <v>13815</v>
      </c>
      <c r="K14" s="615">
        <v>9334</v>
      </c>
      <c r="L14" s="616">
        <v>4481</v>
      </c>
    </row>
    <row r="15" spans="1:12" ht="12.75">
      <c r="A15" s="612" t="s">
        <v>716</v>
      </c>
      <c r="B15" s="613" t="s">
        <v>717</v>
      </c>
      <c r="C15" s="614">
        <v>1353</v>
      </c>
      <c r="D15" s="614">
        <v>11908</v>
      </c>
      <c r="E15" s="614">
        <v>9190</v>
      </c>
      <c r="F15" s="614">
        <v>1339</v>
      </c>
      <c r="G15" s="614">
        <v>1238</v>
      </c>
      <c r="H15" s="614">
        <v>141</v>
      </c>
      <c r="I15" s="614">
        <v>1340</v>
      </c>
      <c r="J15" s="614">
        <v>11908</v>
      </c>
      <c r="K15" s="615">
        <v>9190</v>
      </c>
      <c r="L15" s="616">
        <v>2718</v>
      </c>
    </row>
    <row r="16" spans="1:12" ht="12.75">
      <c r="A16" s="612" t="s">
        <v>718</v>
      </c>
      <c r="B16" s="613" t="s">
        <v>719</v>
      </c>
      <c r="C16" s="614">
        <v>1913</v>
      </c>
      <c r="D16" s="614">
        <v>15646</v>
      </c>
      <c r="E16" s="614">
        <v>11650</v>
      </c>
      <c r="F16" s="614">
        <v>2320</v>
      </c>
      <c r="G16" s="614">
        <v>1562</v>
      </c>
      <c r="H16" s="614">
        <v>114</v>
      </c>
      <c r="I16" s="614">
        <v>1847</v>
      </c>
      <c r="J16" s="614">
        <v>15580</v>
      </c>
      <c r="K16" s="615">
        <v>11650</v>
      </c>
      <c r="L16" s="616">
        <v>3930</v>
      </c>
    </row>
    <row r="17" spans="1:12" ht="12.75">
      <c r="A17" s="612" t="s">
        <v>720</v>
      </c>
      <c r="B17" s="613" t="s">
        <v>721</v>
      </c>
      <c r="C17" s="614">
        <v>813</v>
      </c>
      <c r="D17" s="614">
        <v>5749</v>
      </c>
      <c r="E17" s="614">
        <v>3955</v>
      </c>
      <c r="F17" s="614">
        <v>1065</v>
      </c>
      <c r="G17" s="614">
        <v>729</v>
      </c>
      <c r="H17" s="614">
        <v>0</v>
      </c>
      <c r="I17" s="614">
        <v>813</v>
      </c>
      <c r="J17" s="614">
        <v>5749</v>
      </c>
      <c r="K17" s="615">
        <v>3955</v>
      </c>
      <c r="L17" s="616">
        <v>1794</v>
      </c>
    </row>
    <row r="18" spans="1:12" ht="12.75">
      <c r="A18" s="612" t="s">
        <v>722</v>
      </c>
      <c r="B18" s="613" t="s">
        <v>723</v>
      </c>
      <c r="C18" s="614">
        <v>1458</v>
      </c>
      <c r="D18" s="614">
        <v>18900</v>
      </c>
      <c r="E18" s="614">
        <v>14533</v>
      </c>
      <c r="F18" s="614">
        <v>3054</v>
      </c>
      <c r="G18" s="614">
        <v>1198</v>
      </c>
      <c r="H18" s="614">
        <v>115</v>
      </c>
      <c r="I18" s="614">
        <v>1458</v>
      </c>
      <c r="J18" s="614">
        <v>18900</v>
      </c>
      <c r="K18" s="615">
        <v>14533</v>
      </c>
      <c r="L18" s="616">
        <v>4367</v>
      </c>
    </row>
    <row r="19" spans="1:12" ht="12.75">
      <c r="A19" s="612" t="s">
        <v>724</v>
      </c>
      <c r="B19" s="613" t="s">
        <v>725</v>
      </c>
      <c r="C19" s="614">
        <v>1087</v>
      </c>
      <c r="D19" s="614">
        <v>21063</v>
      </c>
      <c r="E19" s="614">
        <v>16544</v>
      </c>
      <c r="F19" s="614">
        <v>2842</v>
      </c>
      <c r="G19" s="614">
        <v>1209</v>
      </c>
      <c r="H19" s="614">
        <v>468</v>
      </c>
      <c r="I19" s="614">
        <v>1027</v>
      </c>
      <c r="J19" s="614">
        <v>21002</v>
      </c>
      <c r="K19" s="615">
        <v>16544</v>
      </c>
      <c r="L19" s="616">
        <v>4458</v>
      </c>
    </row>
    <row r="20" spans="1:12" ht="12.75">
      <c r="A20" s="612" t="s">
        <v>726</v>
      </c>
      <c r="B20" s="613" t="s">
        <v>727</v>
      </c>
      <c r="C20" s="614">
        <v>1186</v>
      </c>
      <c r="D20" s="614">
        <v>29447</v>
      </c>
      <c r="E20" s="614">
        <v>23656</v>
      </c>
      <c r="F20" s="614">
        <v>4540</v>
      </c>
      <c r="G20" s="614">
        <v>1099</v>
      </c>
      <c r="H20" s="614">
        <v>152</v>
      </c>
      <c r="I20" s="614">
        <v>1002</v>
      </c>
      <c r="J20" s="614">
        <v>29288</v>
      </c>
      <c r="K20" s="615">
        <v>23656</v>
      </c>
      <c r="L20" s="616">
        <v>5632</v>
      </c>
    </row>
    <row r="21" spans="1:12" ht="12.75">
      <c r="A21" s="612" t="s">
        <v>728</v>
      </c>
      <c r="B21" s="613" t="s">
        <v>729</v>
      </c>
      <c r="C21" s="614">
        <v>1295</v>
      </c>
      <c r="D21" s="614">
        <v>28679</v>
      </c>
      <c r="E21" s="614">
        <v>23739</v>
      </c>
      <c r="F21" s="614">
        <v>3610</v>
      </c>
      <c r="G21" s="614">
        <v>1188</v>
      </c>
      <c r="H21" s="614">
        <v>142</v>
      </c>
      <c r="I21" s="614">
        <v>930</v>
      </c>
      <c r="J21" s="614">
        <v>28526</v>
      </c>
      <c r="K21" s="615">
        <v>23739</v>
      </c>
      <c r="L21" s="616">
        <v>4787</v>
      </c>
    </row>
    <row r="22" spans="1:12" ht="12.75">
      <c r="A22" s="612" t="s">
        <v>730</v>
      </c>
      <c r="B22" s="613" t="s">
        <v>731</v>
      </c>
      <c r="C22" s="614">
        <v>1032</v>
      </c>
      <c r="D22" s="614">
        <v>25370</v>
      </c>
      <c r="E22" s="614">
        <v>21087</v>
      </c>
      <c r="F22" s="614">
        <v>3064</v>
      </c>
      <c r="G22" s="614">
        <v>1174</v>
      </c>
      <c r="H22" s="614">
        <v>45</v>
      </c>
      <c r="I22" s="614">
        <v>990</v>
      </c>
      <c r="J22" s="614">
        <v>25328</v>
      </c>
      <c r="K22" s="615">
        <v>21087</v>
      </c>
      <c r="L22" s="616">
        <v>4241</v>
      </c>
    </row>
    <row r="23" spans="1:12" ht="12.75">
      <c r="A23" s="612" t="s">
        <v>732</v>
      </c>
      <c r="B23" s="613" t="s">
        <v>733</v>
      </c>
      <c r="C23" s="614">
        <v>674</v>
      </c>
      <c r="D23" s="614">
        <v>21298</v>
      </c>
      <c r="E23" s="614">
        <v>17704</v>
      </c>
      <c r="F23" s="614">
        <v>2582</v>
      </c>
      <c r="G23" s="614">
        <v>639</v>
      </c>
      <c r="H23" s="614">
        <v>373</v>
      </c>
      <c r="I23" s="614">
        <v>647</v>
      </c>
      <c r="J23" s="614">
        <v>21271</v>
      </c>
      <c r="K23" s="615">
        <v>17704</v>
      </c>
      <c r="L23" s="616">
        <v>3567</v>
      </c>
    </row>
    <row r="24" spans="1:12" ht="12.75">
      <c r="A24" s="612" t="s">
        <v>734</v>
      </c>
      <c r="B24" s="613" t="s">
        <v>735</v>
      </c>
      <c r="C24" s="614">
        <v>802</v>
      </c>
      <c r="D24" s="614">
        <v>22491</v>
      </c>
      <c r="E24" s="614">
        <v>18659</v>
      </c>
      <c r="F24" s="614">
        <v>2548</v>
      </c>
      <c r="G24" s="614">
        <v>719</v>
      </c>
      <c r="H24" s="614">
        <v>565</v>
      </c>
      <c r="I24" s="614">
        <v>780</v>
      </c>
      <c r="J24" s="614">
        <v>22469</v>
      </c>
      <c r="K24" s="615">
        <v>18707</v>
      </c>
      <c r="L24" s="616">
        <v>3762</v>
      </c>
    </row>
    <row r="25" spans="1:12" ht="12.75">
      <c r="A25" s="612" t="s">
        <v>736</v>
      </c>
      <c r="B25" s="613" t="s">
        <v>737</v>
      </c>
      <c r="C25" s="614">
        <v>1227</v>
      </c>
      <c r="D25" s="614">
        <v>21124</v>
      </c>
      <c r="E25" s="614">
        <v>17327</v>
      </c>
      <c r="F25" s="614">
        <v>2545</v>
      </c>
      <c r="G25" s="614">
        <v>1119</v>
      </c>
      <c r="H25" s="614">
        <v>133</v>
      </c>
      <c r="I25" s="614">
        <v>1227</v>
      </c>
      <c r="J25" s="614">
        <v>21124</v>
      </c>
      <c r="K25" s="615">
        <v>17327</v>
      </c>
      <c r="L25" s="616">
        <v>3797</v>
      </c>
    </row>
    <row r="26" spans="1:14" ht="12.75">
      <c r="A26" s="617" t="s">
        <v>738</v>
      </c>
      <c r="B26" s="618" t="s">
        <v>739</v>
      </c>
      <c r="C26" s="609">
        <v>2160</v>
      </c>
      <c r="D26" s="609">
        <v>19350</v>
      </c>
      <c r="E26" s="609">
        <v>0</v>
      </c>
      <c r="F26" s="609">
        <v>15445</v>
      </c>
      <c r="G26" s="609">
        <v>3905</v>
      </c>
      <c r="H26" s="609">
        <v>0</v>
      </c>
      <c r="I26" s="609">
        <v>2041</v>
      </c>
      <c r="J26" s="609">
        <v>19231</v>
      </c>
      <c r="K26" s="610">
        <v>0</v>
      </c>
      <c r="L26" s="611">
        <v>19231</v>
      </c>
      <c r="N26" s="11"/>
    </row>
    <row r="27" spans="1:14" ht="12.75">
      <c r="A27" s="612" t="s">
        <v>740</v>
      </c>
      <c r="B27" s="613" t="s">
        <v>731</v>
      </c>
      <c r="C27" s="614">
        <v>1005</v>
      </c>
      <c r="D27" s="614">
        <v>8910</v>
      </c>
      <c r="E27" s="614">
        <v>0</v>
      </c>
      <c r="F27" s="614">
        <v>7895</v>
      </c>
      <c r="G27" s="614">
        <v>1015</v>
      </c>
      <c r="H27" s="614">
        <v>0</v>
      </c>
      <c r="I27" s="614">
        <v>987</v>
      </c>
      <c r="J27" s="614">
        <v>8892</v>
      </c>
      <c r="K27" s="615">
        <v>0</v>
      </c>
      <c r="L27" s="616">
        <v>8892</v>
      </c>
      <c r="N27" s="830"/>
    </row>
    <row r="28" spans="1:14" ht="12.75">
      <c r="A28" s="612" t="s">
        <v>741</v>
      </c>
      <c r="B28" s="613" t="s">
        <v>733</v>
      </c>
      <c r="C28" s="614">
        <v>621</v>
      </c>
      <c r="D28" s="614">
        <v>4438</v>
      </c>
      <c r="E28" s="614">
        <v>0</v>
      </c>
      <c r="F28" s="614">
        <v>3803</v>
      </c>
      <c r="G28" s="614">
        <v>635</v>
      </c>
      <c r="H28" s="614">
        <v>0</v>
      </c>
      <c r="I28" s="614">
        <v>611</v>
      </c>
      <c r="J28" s="614">
        <v>4428</v>
      </c>
      <c r="K28" s="615">
        <v>0</v>
      </c>
      <c r="L28" s="616">
        <v>4428</v>
      </c>
      <c r="N28" s="11"/>
    </row>
    <row r="29" spans="1:12" ht="12.75">
      <c r="A29" s="617" t="s">
        <v>742</v>
      </c>
      <c r="B29" s="618" t="s">
        <v>743</v>
      </c>
      <c r="C29" s="609">
        <v>1332</v>
      </c>
      <c r="D29" s="609">
        <v>8792</v>
      </c>
      <c r="E29" s="609">
        <v>145</v>
      </c>
      <c r="F29" s="609">
        <v>7132</v>
      </c>
      <c r="G29" s="609">
        <v>1515</v>
      </c>
      <c r="H29" s="609">
        <v>0</v>
      </c>
      <c r="I29" s="609">
        <v>850</v>
      </c>
      <c r="J29" s="609">
        <v>8448</v>
      </c>
      <c r="K29" s="610">
        <v>145</v>
      </c>
      <c r="L29" s="611">
        <v>8303</v>
      </c>
    </row>
    <row r="30" spans="1:12" ht="12.75">
      <c r="A30" s="612" t="s">
        <v>744</v>
      </c>
      <c r="B30" s="613" t="s">
        <v>745</v>
      </c>
      <c r="C30" s="614">
        <v>593</v>
      </c>
      <c r="D30" s="614">
        <v>4174</v>
      </c>
      <c r="E30" s="614">
        <v>0</v>
      </c>
      <c r="F30" s="614">
        <v>3628</v>
      </c>
      <c r="G30" s="614">
        <v>546</v>
      </c>
      <c r="H30" s="614">
        <v>0</v>
      </c>
      <c r="I30" s="614">
        <v>460</v>
      </c>
      <c r="J30" s="614">
        <v>4174</v>
      </c>
      <c r="K30" s="615">
        <v>0</v>
      </c>
      <c r="L30" s="616">
        <v>4174</v>
      </c>
    </row>
    <row r="31" spans="1:12" ht="12.75">
      <c r="A31" s="617" t="s">
        <v>746</v>
      </c>
      <c r="B31" s="618" t="s">
        <v>747</v>
      </c>
      <c r="C31" s="619">
        <v>358</v>
      </c>
      <c r="D31" s="609">
        <v>3378</v>
      </c>
      <c r="E31" s="609">
        <v>3</v>
      </c>
      <c r="F31" s="609">
        <v>3020</v>
      </c>
      <c r="G31" s="609">
        <v>355</v>
      </c>
      <c r="H31" s="609">
        <v>0</v>
      </c>
      <c r="I31" s="609">
        <v>271</v>
      </c>
      <c r="J31" s="609">
        <v>3354</v>
      </c>
      <c r="K31" s="610">
        <v>3</v>
      </c>
      <c r="L31" s="611">
        <v>3351</v>
      </c>
    </row>
    <row r="32" spans="1:17" ht="12.75">
      <c r="A32" s="612" t="s">
        <v>748</v>
      </c>
      <c r="B32" s="613" t="s">
        <v>749</v>
      </c>
      <c r="C32" s="614">
        <v>225</v>
      </c>
      <c r="D32" s="614">
        <v>1975</v>
      </c>
      <c r="E32" s="614">
        <v>1</v>
      </c>
      <c r="F32" s="614">
        <v>1742</v>
      </c>
      <c r="G32" s="614">
        <v>232</v>
      </c>
      <c r="H32" s="614">
        <v>0</v>
      </c>
      <c r="I32" s="614">
        <v>152</v>
      </c>
      <c r="J32" s="614">
        <v>1948</v>
      </c>
      <c r="K32" s="615">
        <v>1</v>
      </c>
      <c r="L32" s="616">
        <v>1947</v>
      </c>
      <c r="Q32" s="620"/>
    </row>
    <row r="33" spans="1:12" ht="12.75">
      <c r="A33" s="612" t="s">
        <v>750</v>
      </c>
      <c r="B33" s="613" t="s">
        <v>751</v>
      </c>
      <c r="C33" s="614">
        <v>165</v>
      </c>
      <c r="D33" s="614">
        <v>1641</v>
      </c>
      <c r="E33" s="614">
        <v>3</v>
      </c>
      <c r="F33" s="614">
        <v>1479</v>
      </c>
      <c r="G33" s="614">
        <v>159</v>
      </c>
      <c r="H33" s="614">
        <v>0</v>
      </c>
      <c r="I33" s="614">
        <v>146</v>
      </c>
      <c r="J33" s="614">
        <v>1634</v>
      </c>
      <c r="K33" s="615">
        <v>3</v>
      </c>
      <c r="L33" s="616">
        <v>1631</v>
      </c>
    </row>
    <row r="34" spans="1:12" ht="12.75">
      <c r="A34" s="612" t="s">
        <v>752</v>
      </c>
      <c r="B34" s="613" t="s">
        <v>753</v>
      </c>
      <c r="C34" s="614">
        <v>48</v>
      </c>
      <c r="D34" s="614">
        <v>1010</v>
      </c>
      <c r="E34" s="614">
        <v>3</v>
      </c>
      <c r="F34" s="614">
        <v>887</v>
      </c>
      <c r="G34" s="614">
        <v>120</v>
      </c>
      <c r="H34" s="614">
        <v>0</v>
      </c>
      <c r="I34" s="614">
        <v>41</v>
      </c>
      <c r="J34" s="614">
        <v>1010</v>
      </c>
      <c r="K34" s="615">
        <v>3</v>
      </c>
      <c r="L34" s="616">
        <v>1007</v>
      </c>
    </row>
    <row r="35" spans="1:12" ht="12.75">
      <c r="A35" s="612" t="s">
        <v>754</v>
      </c>
      <c r="B35" s="613" t="s">
        <v>755</v>
      </c>
      <c r="C35" s="614">
        <v>179</v>
      </c>
      <c r="D35" s="614">
        <v>1513</v>
      </c>
      <c r="E35" s="614">
        <v>1</v>
      </c>
      <c r="F35" s="614">
        <v>1300</v>
      </c>
      <c r="G35" s="614">
        <v>212</v>
      </c>
      <c r="H35" s="614">
        <v>0</v>
      </c>
      <c r="I35" s="614">
        <v>143</v>
      </c>
      <c r="J35" s="614">
        <v>1471</v>
      </c>
      <c r="K35" s="615">
        <v>1</v>
      </c>
      <c r="L35" s="616">
        <v>1470</v>
      </c>
    </row>
    <row r="36" spans="1:12" ht="12.75">
      <c r="A36" s="612" t="s">
        <v>756</v>
      </c>
      <c r="B36" s="613" t="s">
        <v>757</v>
      </c>
      <c r="C36" s="614">
        <v>172</v>
      </c>
      <c r="D36" s="614">
        <v>1094</v>
      </c>
      <c r="E36" s="614">
        <v>3</v>
      </c>
      <c r="F36" s="614">
        <v>927</v>
      </c>
      <c r="G36" s="614">
        <v>164</v>
      </c>
      <c r="H36" s="614">
        <v>0</v>
      </c>
      <c r="I36" s="614">
        <v>127</v>
      </c>
      <c r="J36" s="614">
        <v>1041</v>
      </c>
      <c r="K36" s="615">
        <v>3</v>
      </c>
      <c r="L36" s="616">
        <v>1038</v>
      </c>
    </row>
    <row r="37" spans="1:15" ht="12.75">
      <c r="A37" s="612" t="s">
        <v>758</v>
      </c>
      <c r="B37" s="613" t="s">
        <v>759</v>
      </c>
      <c r="C37" s="614">
        <v>177</v>
      </c>
      <c r="D37" s="614">
        <v>1309</v>
      </c>
      <c r="E37" s="614">
        <v>0</v>
      </c>
      <c r="F37" s="614">
        <v>1149</v>
      </c>
      <c r="G37" s="614">
        <v>160</v>
      </c>
      <c r="H37" s="614">
        <v>0</v>
      </c>
      <c r="I37" s="614">
        <v>105</v>
      </c>
      <c r="J37" s="614">
        <v>1278</v>
      </c>
      <c r="K37" s="615">
        <v>0</v>
      </c>
      <c r="L37" s="616">
        <v>1278</v>
      </c>
      <c r="O37" s="59"/>
    </row>
    <row r="38" spans="1:15" ht="12.75">
      <c r="A38" s="612" t="s">
        <v>760</v>
      </c>
      <c r="B38" s="613" t="s">
        <v>761</v>
      </c>
      <c r="C38" s="614">
        <v>528</v>
      </c>
      <c r="D38" s="614">
        <v>3704</v>
      </c>
      <c r="E38" s="614">
        <v>4</v>
      </c>
      <c r="F38" s="614">
        <v>2996</v>
      </c>
      <c r="G38" s="614">
        <v>542</v>
      </c>
      <c r="H38" s="614">
        <v>162</v>
      </c>
      <c r="I38" s="614">
        <v>470</v>
      </c>
      <c r="J38" s="614">
        <v>3696</v>
      </c>
      <c r="K38" s="615">
        <v>4</v>
      </c>
      <c r="L38" s="616">
        <v>3692</v>
      </c>
      <c r="O38" s="621"/>
    </row>
    <row r="39" spans="1:12" ht="12.75">
      <c r="A39" s="612" t="s">
        <v>762</v>
      </c>
      <c r="B39" s="613" t="s">
        <v>763</v>
      </c>
      <c r="C39" s="614">
        <v>218</v>
      </c>
      <c r="D39" s="614">
        <v>1603</v>
      </c>
      <c r="E39" s="614">
        <v>0</v>
      </c>
      <c r="F39" s="614">
        <v>1466</v>
      </c>
      <c r="G39" s="614">
        <v>137</v>
      </c>
      <c r="H39" s="614">
        <v>0</v>
      </c>
      <c r="I39" s="614">
        <v>187</v>
      </c>
      <c r="J39" s="614">
        <v>1588</v>
      </c>
      <c r="K39" s="615">
        <v>0</v>
      </c>
      <c r="L39" s="616">
        <v>1588</v>
      </c>
    </row>
    <row r="40" spans="1:12" ht="12.75">
      <c r="A40" s="612" t="s">
        <v>764</v>
      </c>
      <c r="B40" s="613" t="s">
        <v>765</v>
      </c>
      <c r="C40" s="614">
        <v>501</v>
      </c>
      <c r="D40" s="614">
        <v>2968</v>
      </c>
      <c r="E40" s="614">
        <v>6</v>
      </c>
      <c r="F40" s="614">
        <v>2400</v>
      </c>
      <c r="G40" s="614">
        <v>562</v>
      </c>
      <c r="H40" s="614">
        <v>0</v>
      </c>
      <c r="I40" s="614">
        <v>264</v>
      </c>
      <c r="J40" s="614">
        <v>2919</v>
      </c>
      <c r="K40" s="615">
        <v>6</v>
      </c>
      <c r="L40" s="616">
        <v>2913</v>
      </c>
    </row>
    <row r="41" spans="1:12" ht="12.75">
      <c r="A41" s="612" t="s">
        <v>766</v>
      </c>
      <c r="B41" s="613" t="s">
        <v>767</v>
      </c>
      <c r="C41" s="614">
        <v>522</v>
      </c>
      <c r="D41" s="614">
        <v>3659</v>
      </c>
      <c r="E41" s="614">
        <v>13</v>
      </c>
      <c r="F41" s="614">
        <v>3094</v>
      </c>
      <c r="G41" s="614">
        <v>482</v>
      </c>
      <c r="H41" s="614">
        <v>70</v>
      </c>
      <c r="I41" s="614">
        <v>450</v>
      </c>
      <c r="J41" s="614">
        <v>3659</v>
      </c>
      <c r="K41" s="615">
        <v>13</v>
      </c>
      <c r="L41" s="616">
        <v>3646</v>
      </c>
    </row>
    <row r="42" spans="1:15" ht="12.75">
      <c r="A42" s="612" t="s">
        <v>768</v>
      </c>
      <c r="B42" s="613" t="s">
        <v>769</v>
      </c>
      <c r="C42" s="614">
        <v>641</v>
      </c>
      <c r="D42" s="614">
        <v>5303</v>
      </c>
      <c r="E42" s="614">
        <v>4</v>
      </c>
      <c r="F42" s="614">
        <v>4686</v>
      </c>
      <c r="G42" s="614">
        <v>613</v>
      </c>
      <c r="H42" s="614">
        <v>0</v>
      </c>
      <c r="I42" s="614">
        <v>550</v>
      </c>
      <c r="J42" s="614">
        <v>5266</v>
      </c>
      <c r="K42" s="615">
        <v>4</v>
      </c>
      <c r="L42" s="616">
        <v>5262</v>
      </c>
      <c r="O42" s="622"/>
    </row>
    <row r="43" spans="1:16" ht="12.75">
      <c r="A43" s="612" t="s">
        <v>770</v>
      </c>
      <c r="B43" s="613" t="s">
        <v>771</v>
      </c>
      <c r="C43" s="614">
        <v>188</v>
      </c>
      <c r="D43" s="614">
        <v>1529</v>
      </c>
      <c r="E43" s="614">
        <v>3</v>
      </c>
      <c r="F43" s="614">
        <v>1297</v>
      </c>
      <c r="G43" s="614">
        <v>229</v>
      </c>
      <c r="H43" s="614">
        <v>0</v>
      </c>
      <c r="I43" s="614">
        <v>160</v>
      </c>
      <c r="J43" s="614">
        <v>1524</v>
      </c>
      <c r="K43" s="615">
        <v>3</v>
      </c>
      <c r="L43" s="616">
        <v>1521</v>
      </c>
      <c r="P43" s="586"/>
    </row>
    <row r="44" spans="1:12" ht="12.75">
      <c r="A44" s="612" t="s">
        <v>772</v>
      </c>
      <c r="B44" s="613" t="s">
        <v>773</v>
      </c>
      <c r="C44" s="614">
        <v>405</v>
      </c>
      <c r="D44" s="614">
        <v>2676</v>
      </c>
      <c r="E44" s="614">
        <v>10</v>
      </c>
      <c r="F44" s="614">
        <v>2321</v>
      </c>
      <c r="G44" s="614">
        <v>345</v>
      </c>
      <c r="H44" s="614">
        <v>0</v>
      </c>
      <c r="I44" s="614">
        <v>285</v>
      </c>
      <c r="J44" s="614">
        <v>2671</v>
      </c>
      <c r="K44" s="615">
        <v>10</v>
      </c>
      <c r="L44" s="616">
        <v>2661</v>
      </c>
    </row>
    <row r="45" spans="1:12" ht="12.75">
      <c r="A45" s="612" t="s">
        <v>774</v>
      </c>
      <c r="B45" s="613" t="s">
        <v>775</v>
      </c>
      <c r="C45" s="614">
        <v>950</v>
      </c>
      <c r="D45" s="614">
        <v>6443</v>
      </c>
      <c r="E45" s="614">
        <v>6</v>
      </c>
      <c r="F45" s="614">
        <v>5589</v>
      </c>
      <c r="G45" s="614">
        <v>848</v>
      </c>
      <c r="H45" s="614">
        <v>0</v>
      </c>
      <c r="I45" s="614">
        <v>884</v>
      </c>
      <c r="J45" s="614">
        <v>6387</v>
      </c>
      <c r="K45" s="615">
        <v>6</v>
      </c>
      <c r="L45" s="616">
        <v>6381</v>
      </c>
    </row>
    <row r="46" spans="1:12" ht="12.75">
      <c r="A46" s="612" t="s">
        <v>776</v>
      </c>
      <c r="B46" s="613" t="s">
        <v>777</v>
      </c>
      <c r="C46" s="614">
        <v>949</v>
      </c>
      <c r="D46" s="614">
        <v>5307</v>
      </c>
      <c r="E46" s="614">
        <v>2</v>
      </c>
      <c r="F46" s="614">
        <v>4356</v>
      </c>
      <c r="G46" s="614">
        <v>949</v>
      </c>
      <c r="H46" s="614">
        <v>0</v>
      </c>
      <c r="I46" s="614">
        <v>641</v>
      </c>
      <c r="J46" s="614">
        <v>5192</v>
      </c>
      <c r="K46" s="615">
        <v>2</v>
      </c>
      <c r="L46" s="616">
        <v>5190</v>
      </c>
    </row>
    <row r="47" spans="1:14" ht="12.75">
      <c r="A47" s="612" t="s">
        <v>778</v>
      </c>
      <c r="B47" s="613" t="s">
        <v>779</v>
      </c>
      <c r="C47" s="614">
        <v>530</v>
      </c>
      <c r="D47" s="614">
        <v>3859</v>
      </c>
      <c r="E47" s="614">
        <v>10</v>
      </c>
      <c r="F47" s="614">
        <v>3183</v>
      </c>
      <c r="G47" s="614">
        <v>666</v>
      </c>
      <c r="H47" s="614">
        <v>0</v>
      </c>
      <c r="I47" s="614">
        <v>500</v>
      </c>
      <c r="J47" s="614">
        <v>3859</v>
      </c>
      <c r="K47" s="615">
        <v>10</v>
      </c>
      <c r="L47" s="616">
        <v>3849</v>
      </c>
      <c r="N47" s="623"/>
    </row>
    <row r="48" spans="1:12" ht="12.75">
      <c r="A48" s="612" t="s">
        <v>780</v>
      </c>
      <c r="B48" s="613" t="s">
        <v>781</v>
      </c>
      <c r="C48" s="614">
        <v>755</v>
      </c>
      <c r="D48" s="614">
        <v>4496</v>
      </c>
      <c r="E48" s="614">
        <v>8</v>
      </c>
      <c r="F48" s="614">
        <v>3409</v>
      </c>
      <c r="G48" s="614">
        <v>883</v>
      </c>
      <c r="H48" s="614">
        <v>196</v>
      </c>
      <c r="I48" s="614">
        <v>632</v>
      </c>
      <c r="J48" s="614">
        <v>4367</v>
      </c>
      <c r="K48" s="615">
        <v>8</v>
      </c>
      <c r="L48" s="616">
        <v>4359</v>
      </c>
    </row>
    <row r="49" spans="1:12" ht="12.75">
      <c r="A49" s="612" t="s">
        <v>782</v>
      </c>
      <c r="B49" s="613" t="s">
        <v>783</v>
      </c>
      <c r="C49" s="614">
        <v>602</v>
      </c>
      <c r="D49" s="614">
        <v>3806</v>
      </c>
      <c r="E49" s="614">
        <v>2</v>
      </c>
      <c r="F49" s="614">
        <v>3106</v>
      </c>
      <c r="G49" s="614">
        <v>698</v>
      </c>
      <c r="H49" s="614">
        <v>0</v>
      </c>
      <c r="I49" s="614">
        <v>500</v>
      </c>
      <c r="J49" s="614">
        <v>3776</v>
      </c>
      <c r="K49" s="615">
        <v>2</v>
      </c>
      <c r="L49" s="616">
        <v>3774</v>
      </c>
    </row>
    <row r="50" spans="1:12" ht="12.75">
      <c r="A50" s="612" t="s">
        <v>784</v>
      </c>
      <c r="B50" s="613" t="s">
        <v>785</v>
      </c>
      <c r="C50" s="614">
        <v>577</v>
      </c>
      <c r="D50" s="614">
        <v>3779</v>
      </c>
      <c r="E50" s="614">
        <v>10</v>
      </c>
      <c r="F50" s="614">
        <v>3178</v>
      </c>
      <c r="G50" s="614">
        <v>591</v>
      </c>
      <c r="H50" s="614">
        <v>0</v>
      </c>
      <c r="I50" s="614">
        <v>500</v>
      </c>
      <c r="J50" s="614">
        <v>3763</v>
      </c>
      <c r="K50" s="615">
        <v>10</v>
      </c>
      <c r="L50" s="616">
        <v>3753</v>
      </c>
    </row>
    <row r="51" spans="1:12" ht="12.75">
      <c r="A51" s="612" t="s">
        <v>786</v>
      </c>
      <c r="B51" s="613" t="s">
        <v>787</v>
      </c>
      <c r="C51" s="614">
        <v>933</v>
      </c>
      <c r="D51" s="614">
        <v>4442</v>
      </c>
      <c r="E51" s="614">
        <v>2</v>
      </c>
      <c r="F51" s="614">
        <v>3736</v>
      </c>
      <c r="G51" s="614">
        <v>704</v>
      </c>
      <c r="H51" s="614">
        <v>0</v>
      </c>
      <c r="I51" s="614">
        <v>849</v>
      </c>
      <c r="J51" s="614">
        <v>4412</v>
      </c>
      <c r="K51" s="615">
        <v>2</v>
      </c>
      <c r="L51" s="616">
        <v>4410</v>
      </c>
    </row>
    <row r="52" spans="1:12" ht="12.75">
      <c r="A52" s="612" t="s">
        <v>788</v>
      </c>
      <c r="B52" s="613" t="s">
        <v>789</v>
      </c>
      <c r="C52" s="614">
        <v>742</v>
      </c>
      <c r="D52" s="614">
        <v>7162</v>
      </c>
      <c r="E52" s="614">
        <v>18</v>
      </c>
      <c r="F52" s="614">
        <v>4517</v>
      </c>
      <c r="G52" s="614">
        <v>753</v>
      </c>
      <c r="H52" s="614">
        <v>1874</v>
      </c>
      <c r="I52" s="614">
        <v>708</v>
      </c>
      <c r="J52" s="614">
        <v>7162</v>
      </c>
      <c r="K52" s="615">
        <v>18</v>
      </c>
      <c r="L52" s="616">
        <v>7144</v>
      </c>
    </row>
    <row r="53" spans="1:12" ht="13.5" thickBot="1">
      <c r="A53" s="624"/>
      <c r="B53" s="625" t="s">
        <v>790</v>
      </c>
      <c r="C53" s="626">
        <f aca="true" t="shared" si="0" ref="C53:J53">SUM(C7:C52)</f>
        <v>32563</v>
      </c>
      <c r="D53" s="626">
        <f t="shared" si="0"/>
        <v>399503</v>
      </c>
      <c r="E53" s="626">
        <f t="shared" si="0"/>
        <v>221712</v>
      </c>
      <c r="F53" s="626">
        <f t="shared" si="0"/>
        <v>139125</v>
      </c>
      <c r="G53" s="626">
        <f t="shared" si="0"/>
        <v>33469</v>
      </c>
      <c r="H53" s="626">
        <f>SUM(H7:H52)</f>
        <v>5197</v>
      </c>
      <c r="I53" s="626">
        <f t="shared" si="0"/>
        <v>28020</v>
      </c>
      <c r="J53" s="626">
        <f t="shared" si="0"/>
        <v>397376</v>
      </c>
      <c r="K53" s="627">
        <f>SUM(K7:K52)</f>
        <v>221760</v>
      </c>
      <c r="L53" s="628">
        <f>SUM(L7:L52)</f>
        <v>175616</v>
      </c>
    </row>
    <row r="54" spans="1:12" ht="12.75">
      <c r="A54" s="629"/>
      <c r="B54" s="630"/>
      <c r="C54" s="631"/>
      <c r="D54" s="631"/>
      <c r="E54" s="631"/>
      <c r="F54" s="631">
        <v>139217</v>
      </c>
      <c r="G54" s="631"/>
      <c r="H54" s="631"/>
      <c r="I54" s="631"/>
      <c r="J54" s="631"/>
      <c r="K54" s="631"/>
      <c r="L54" s="631"/>
    </row>
    <row r="55" spans="1:12" ht="12.75">
      <c r="A55" s="59"/>
      <c r="B55" s="632"/>
      <c r="C55" s="633"/>
      <c r="D55" s="633"/>
      <c r="E55" s="633"/>
      <c r="F55" s="633"/>
      <c r="G55" s="633"/>
      <c r="H55" s="633"/>
      <c r="I55" s="633"/>
      <c r="J55" s="633"/>
      <c r="K55" s="633"/>
      <c r="L55" s="633"/>
    </row>
    <row r="56" spans="1:14" ht="12.75">
      <c r="A56" s="59"/>
      <c r="B56" s="634"/>
      <c r="C56" s="633"/>
      <c r="D56" s="633"/>
      <c r="E56" s="633"/>
      <c r="F56" s="633"/>
      <c r="G56" s="633"/>
      <c r="H56" s="633"/>
      <c r="I56" s="633"/>
      <c r="J56" s="633"/>
      <c r="K56" s="633"/>
      <c r="L56" s="633"/>
      <c r="N56">
        <f>334873</f>
        <v>334873</v>
      </c>
    </row>
    <row r="57" spans="1:14" ht="12.75">
      <c r="A57" s="59"/>
      <c r="B57" s="635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N57" s="11">
        <f>D53-N56</f>
        <v>64630</v>
      </c>
    </row>
    <row r="58" spans="3:12" ht="12.75">
      <c r="C58" s="636"/>
      <c r="D58" s="636"/>
      <c r="E58" s="636"/>
      <c r="F58" s="636"/>
      <c r="G58" s="636"/>
      <c r="H58" s="636"/>
      <c r="I58" s="636"/>
      <c r="J58" s="636"/>
      <c r="K58" s="636"/>
      <c r="L58" s="636"/>
    </row>
    <row r="59" spans="3:12" ht="12.75">
      <c r="C59" s="636"/>
      <c r="D59" s="636"/>
      <c r="E59" s="636"/>
      <c r="F59" s="636"/>
      <c r="G59" s="636"/>
      <c r="H59" s="636"/>
      <c r="I59" s="636"/>
      <c r="J59" s="636"/>
      <c r="K59" s="636"/>
      <c r="L59" s="636"/>
    </row>
    <row r="60" spans="3:12" ht="12.75">
      <c r="C60" s="636"/>
      <c r="D60" s="636"/>
      <c r="E60" s="636"/>
      <c r="F60" s="636"/>
      <c r="G60" s="636"/>
      <c r="H60" s="636"/>
      <c r="I60" s="636"/>
      <c r="J60" s="636"/>
      <c r="K60" s="636"/>
      <c r="L60" s="636"/>
    </row>
    <row r="61" spans="3:12" ht="12.75">
      <c r="C61" s="636"/>
      <c r="D61" s="636"/>
      <c r="E61" s="636"/>
      <c r="F61" s="636"/>
      <c r="G61" s="636"/>
      <c r="H61" s="636"/>
      <c r="I61" s="636"/>
      <c r="J61" s="636"/>
      <c r="K61" s="636"/>
      <c r="L61" s="636"/>
    </row>
    <row r="62" spans="3:12" ht="12.75">
      <c r="C62" s="636"/>
      <c r="D62" s="636"/>
      <c r="E62" s="636">
        <f>G53-C53</f>
        <v>906</v>
      </c>
      <c r="F62" s="636"/>
      <c r="G62" s="636"/>
      <c r="H62" s="636"/>
      <c r="I62" s="636"/>
      <c r="J62" s="636"/>
      <c r="K62" s="636"/>
      <c r="L62" s="636"/>
    </row>
    <row r="63" spans="3:12" ht="12.75">
      <c r="C63" s="636"/>
      <c r="D63" s="636"/>
      <c r="E63" s="636"/>
      <c r="F63" s="636"/>
      <c r="G63" s="636"/>
      <c r="H63" s="636"/>
      <c r="I63" s="636"/>
      <c r="J63" s="636"/>
      <c r="K63" s="636"/>
      <c r="L63" s="636"/>
    </row>
    <row r="64" spans="3:12" ht="12.75">
      <c r="C64" s="636"/>
      <c r="D64" s="636"/>
      <c r="E64" s="636"/>
      <c r="F64" s="636"/>
      <c r="G64" s="636"/>
      <c r="H64" s="636"/>
      <c r="I64" s="636"/>
      <c r="J64" s="636"/>
      <c r="K64" s="636"/>
      <c r="L64" s="636"/>
    </row>
    <row r="65" spans="3:12" ht="12.75">
      <c r="C65" s="636"/>
      <c r="D65" s="636"/>
      <c r="E65" s="636"/>
      <c r="F65" s="636"/>
      <c r="G65" s="636"/>
      <c r="H65" s="636"/>
      <c r="I65" s="636"/>
      <c r="J65" s="636"/>
      <c r="K65" s="636"/>
      <c r="L65" s="636"/>
    </row>
    <row r="66" spans="3:12" ht="12.75">
      <c r="C66" s="636"/>
      <c r="D66" s="636"/>
      <c r="E66" s="636"/>
      <c r="F66" s="636"/>
      <c r="G66" s="636"/>
      <c r="H66" s="636"/>
      <c r="I66" s="636"/>
      <c r="J66" s="636"/>
      <c r="K66" s="636"/>
      <c r="L66" s="636"/>
    </row>
    <row r="67" spans="3:12" ht="12.75">
      <c r="C67" s="636"/>
      <c r="D67" s="636"/>
      <c r="E67" s="636"/>
      <c r="F67" s="636"/>
      <c r="G67" s="636"/>
      <c r="H67" s="636"/>
      <c r="I67" s="636"/>
      <c r="J67" s="636"/>
      <c r="K67" s="636"/>
      <c r="L67" s="636"/>
    </row>
    <row r="68" spans="3:12" ht="12.75">
      <c r="C68" s="636"/>
      <c r="D68" s="636"/>
      <c r="E68" s="636"/>
      <c r="F68" s="636"/>
      <c r="G68" s="636"/>
      <c r="H68" s="636"/>
      <c r="I68" s="636"/>
      <c r="J68" s="636"/>
      <c r="K68" s="636"/>
      <c r="L68" s="636"/>
    </row>
    <row r="69" spans="3:12" ht="12.75">
      <c r="C69" s="636"/>
      <c r="D69" s="636"/>
      <c r="E69" s="636"/>
      <c r="F69" s="636"/>
      <c r="G69" s="636"/>
      <c r="H69" s="636"/>
      <c r="I69" s="636"/>
      <c r="J69" s="636"/>
      <c r="K69" s="636"/>
      <c r="L69" s="636"/>
    </row>
    <row r="70" spans="3:12" ht="12.75">
      <c r="C70" s="636"/>
      <c r="D70" s="636"/>
      <c r="E70" s="636"/>
      <c r="F70" s="636"/>
      <c r="G70" s="636"/>
      <c r="H70" s="636"/>
      <c r="I70" s="636"/>
      <c r="J70" s="636"/>
      <c r="K70" s="636"/>
      <c r="L70" s="636"/>
    </row>
    <row r="71" spans="3:12" ht="12.75">
      <c r="C71" s="636"/>
      <c r="D71" s="636"/>
      <c r="E71" s="636"/>
      <c r="F71" s="636"/>
      <c r="G71" s="636"/>
      <c r="H71" s="636"/>
      <c r="I71" s="636"/>
      <c r="J71" s="636"/>
      <c r="K71" s="636"/>
      <c r="L71" s="636"/>
    </row>
    <row r="72" spans="3:12" ht="12.75">
      <c r="C72" s="636"/>
      <c r="D72" s="636"/>
      <c r="E72" s="636"/>
      <c r="F72" s="636"/>
      <c r="G72" s="636"/>
      <c r="H72" s="636"/>
      <c r="I72" s="636"/>
      <c r="J72" s="636"/>
      <c r="K72" s="636"/>
      <c r="L72" s="636"/>
    </row>
    <row r="73" spans="3:12" ht="12.75">
      <c r="C73" s="636"/>
      <c r="D73" s="636"/>
      <c r="E73" s="636"/>
      <c r="F73" s="636"/>
      <c r="G73" s="636"/>
      <c r="H73" s="636"/>
      <c r="I73" s="636"/>
      <c r="J73" s="636"/>
      <c r="K73" s="636"/>
      <c r="L73" s="636"/>
    </row>
    <row r="74" spans="3:12" ht="12.75">
      <c r="C74" s="636"/>
      <c r="D74" s="636"/>
      <c r="E74" s="636"/>
      <c r="F74" s="636"/>
      <c r="G74" s="636"/>
      <c r="H74" s="636"/>
      <c r="I74" s="636"/>
      <c r="J74" s="636"/>
      <c r="K74" s="636"/>
      <c r="L74" s="636"/>
    </row>
    <row r="75" spans="3:12" ht="12.75">
      <c r="C75" s="636"/>
      <c r="D75" s="636"/>
      <c r="E75" s="636"/>
      <c r="F75" s="636"/>
      <c r="G75" s="636"/>
      <c r="H75" s="636"/>
      <c r="I75" s="636"/>
      <c r="J75" s="636"/>
      <c r="K75" s="636"/>
      <c r="L75" s="636"/>
    </row>
    <row r="76" spans="3:12" ht="12.75">
      <c r="C76" s="636"/>
      <c r="D76" s="636"/>
      <c r="E76" s="636"/>
      <c r="F76" s="636"/>
      <c r="G76" s="636"/>
      <c r="H76" s="636"/>
      <c r="I76" s="636"/>
      <c r="J76" s="636"/>
      <c r="K76" s="636"/>
      <c r="L76" s="636"/>
    </row>
    <row r="77" spans="3:12" ht="12.75">
      <c r="C77" s="636"/>
      <c r="D77" s="636"/>
      <c r="E77" s="636"/>
      <c r="F77" s="636"/>
      <c r="G77" s="636"/>
      <c r="H77" s="636"/>
      <c r="I77" s="636"/>
      <c r="J77" s="636"/>
      <c r="K77" s="636"/>
      <c r="L77" s="636"/>
    </row>
    <row r="78" spans="3:12" ht="12.75">
      <c r="C78" s="636"/>
      <c r="D78" s="636"/>
      <c r="E78" s="636"/>
      <c r="F78" s="636"/>
      <c r="G78" s="636"/>
      <c r="H78" s="636"/>
      <c r="I78" s="636"/>
      <c r="J78" s="636"/>
      <c r="K78" s="636"/>
      <c r="L78" s="636"/>
    </row>
    <row r="79" spans="3:12" ht="12.75">
      <c r="C79" s="636"/>
      <c r="D79" s="636"/>
      <c r="E79" s="636"/>
      <c r="F79" s="636"/>
      <c r="G79" s="636"/>
      <c r="H79" s="636"/>
      <c r="I79" s="636"/>
      <c r="J79" s="636"/>
      <c r="K79" s="636"/>
      <c r="L79" s="636"/>
    </row>
    <row r="80" spans="3:12" ht="12.75">
      <c r="C80" s="636"/>
      <c r="D80" s="636"/>
      <c r="E80" s="636"/>
      <c r="F80" s="636"/>
      <c r="G80" s="636"/>
      <c r="H80" s="636"/>
      <c r="I80" s="636"/>
      <c r="J80" s="636"/>
      <c r="K80" s="636"/>
      <c r="L80" s="636"/>
    </row>
    <row r="81" spans="3:12" ht="12.75">
      <c r="C81" s="636"/>
      <c r="D81" s="636"/>
      <c r="E81" s="636"/>
      <c r="F81" s="636"/>
      <c r="G81" s="636"/>
      <c r="H81" s="636"/>
      <c r="I81" s="636"/>
      <c r="J81" s="636"/>
      <c r="K81" s="636"/>
      <c r="L81" s="636"/>
    </row>
    <row r="82" spans="3:12" ht="12.75">
      <c r="C82" s="636"/>
      <c r="D82" s="636"/>
      <c r="E82" s="636"/>
      <c r="F82" s="636"/>
      <c r="G82" s="636"/>
      <c r="H82" s="636"/>
      <c r="I82" s="636"/>
      <c r="J82" s="636"/>
      <c r="K82" s="636"/>
      <c r="L82" s="636"/>
    </row>
    <row r="83" spans="3:12" ht="12.75">
      <c r="C83" s="636"/>
      <c r="D83" s="636"/>
      <c r="E83" s="636"/>
      <c r="F83" s="636"/>
      <c r="G83" s="636"/>
      <c r="H83" s="636"/>
      <c r="I83" s="636"/>
      <c r="J83" s="636"/>
      <c r="K83" s="636"/>
      <c r="L83" s="636"/>
    </row>
    <row r="84" spans="3:12" ht="12.75">
      <c r="C84" s="636"/>
      <c r="D84" s="636"/>
      <c r="E84" s="636"/>
      <c r="F84" s="636"/>
      <c r="G84" s="636"/>
      <c r="H84" s="636"/>
      <c r="I84" s="636"/>
      <c r="J84" s="636"/>
      <c r="K84" s="636"/>
      <c r="L84" s="636"/>
    </row>
    <row r="85" spans="3:12" ht="12.75">
      <c r="C85" s="636"/>
      <c r="D85" s="636"/>
      <c r="E85" s="636"/>
      <c r="F85" s="636"/>
      <c r="G85" s="636"/>
      <c r="H85" s="636"/>
      <c r="I85" s="636"/>
      <c r="J85" s="636"/>
      <c r="K85" s="636"/>
      <c r="L85" s="636"/>
    </row>
    <row r="86" spans="3:12" ht="12.75">
      <c r="C86" s="636"/>
      <c r="D86" s="636"/>
      <c r="E86" s="636"/>
      <c r="F86" s="636"/>
      <c r="G86" s="636"/>
      <c r="H86" s="636"/>
      <c r="I86" s="636"/>
      <c r="J86" s="636"/>
      <c r="K86" s="636"/>
      <c r="L86" s="636"/>
    </row>
    <row r="87" spans="3:12" ht="12.75">
      <c r="C87" s="636"/>
      <c r="D87" s="636"/>
      <c r="E87" s="636"/>
      <c r="F87" s="636"/>
      <c r="G87" s="636"/>
      <c r="H87" s="636"/>
      <c r="I87" s="636"/>
      <c r="J87" s="636"/>
      <c r="K87" s="636"/>
      <c r="L87" s="636"/>
    </row>
    <row r="88" spans="3:12" ht="12.75">
      <c r="C88" s="636"/>
      <c r="D88" s="636"/>
      <c r="E88" s="636"/>
      <c r="F88" s="636"/>
      <c r="G88" s="636"/>
      <c r="H88" s="636"/>
      <c r="I88" s="636"/>
      <c r="J88" s="636"/>
      <c r="K88" s="636"/>
      <c r="L88" s="636"/>
    </row>
    <row r="89" spans="3:12" ht="12.75">
      <c r="C89" s="636"/>
      <c r="D89" s="636"/>
      <c r="E89" s="636"/>
      <c r="F89" s="636"/>
      <c r="G89" s="636"/>
      <c r="H89" s="636"/>
      <c r="I89" s="636"/>
      <c r="J89" s="636"/>
      <c r="K89" s="636"/>
      <c r="L89" s="636"/>
    </row>
    <row r="90" spans="3:12" ht="12.75">
      <c r="C90" s="636"/>
      <c r="D90" s="636"/>
      <c r="E90" s="636"/>
      <c r="F90" s="636"/>
      <c r="G90" s="636"/>
      <c r="H90" s="636"/>
      <c r="I90" s="636"/>
      <c r="J90" s="636"/>
      <c r="K90" s="636"/>
      <c r="L90" s="636"/>
    </row>
    <row r="91" spans="3:12" ht="12.75">
      <c r="C91" s="636"/>
      <c r="D91" s="636"/>
      <c r="E91" s="636"/>
      <c r="F91" s="636"/>
      <c r="G91" s="636"/>
      <c r="H91" s="636"/>
      <c r="I91" s="636"/>
      <c r="J91" s="636"/>
      <c r="K91" s="636"/>
      <c r="L91" s="636"/>
    </row>
    <row r="92" spans="3:12" ht="12.75">
      <c r="C92" s="636"/>
      <c r="D92" s="636"/>
      <c r="E92" s="636"/>
      <c r="F92" s="636"/>
      <c r="G92" s="636"/>
      <c r="H92" s="636"/>
      <c r="I92" s="636"/>
      <c r="J92" s="636"/>
      <c r="K92" s="636"/>
      <c r="L92" s="636"/>
    </row>
    <row r="93" spans="3:12" ht="12.75">
      <c r="C93" s="636"/>
      <c r="D93" s="636"/>
      <c r="E93" s="636"/>
      <c r="F93" s="636"/>
      <c r="G93" s="636"/>
      <c r="H93" s="636"/>
      <c r="I93" s="636"/>
      <c r="J93" s="636"/>
      <c r="K93" s="636"/>
      <c r="L93" s="636"/>
    </row>
    <row r="94" spans="3:12" ht="12.75">
      <c r="C94" s="636"/>
      <c r="D94" s="636"/>
      <c r="E94" s="636"/>
      <c r="F94" s="636"/>
      <c r="G94" s="636"/>
      <c r="H94" s="636"/>
      <c r="I94" s="636"/>
      <c r="J94" s="636"/>
      <c r="K94" s="636"/>
      <c r="L94" s="636"/>
    </row>
    <row r="95" spans="3:12" ht="12.75">
      <c r="C95" s="636"/>
      <c r="D95" s="636"/>
      <c r="E95" s="636"/>
      <c r="F95" s="636"/>
      <c r="G95" s="636"/>
      <c r="H95" s="636"/>
      <c r="I95" s="636"/>
      <c r="J95" s="636"/>
      <c r="K95" s="636"/>
      <c r="L95" s="636"/>
    </row>
    <row r="96" spans="3:12" ht="12.75">
      <c r="C96" s="636"/>
      <c r="D96" s="636"/>
      <c r="E96" s="636"/>
      <c r="F96" s="636"/>
      <c r="G96" s="636"/>
      <c r="H96" s="636"/>
      <c r="I96" s="636"/>
      <c r="J96" s="636"/>
      <c r="K96" s="636"/>
      <c r="L96" s="636"/>
    </row>
    <row r="97" spans="3:12" ht="12.75">
      <c r="C97" s="636"/>
      <c r="D97" s="636"/>
      <c r="E97" s="636"/>
      <c r="F97" s="636"/>
      <c r="G97" s="636"/>
      <c r="H97" s="636"/>
      <c r="I97" s="636"/>
      <c r="J97" s="636"/>
      <c r="K97" s="636"/>
      <c r="L97" s="636"/>
    </row>
    <row r="98" spans="3:12" ht="12.75">
      <c r="C98" s="636"/>
      <c r="D98" s="636"/>
      <c r="E98" s="636"/>
      <c r="F98" s="636"/>
      <c r="G98" s="636"/>
      <c r="H98" s="636"/>
      <c r="I98" s="636"/>
      <c r="J98" s="636"/>
      <c r="K98" s="636"/>
      <c r="L98" s="636"/>
    </row>
    <row r="99" spans="3:12" ht="12.75">
      <c r="C99" s="636"/>
      <c r="D99" s="636"/>
      <c r="E99" s="636"/>
      <c r="F99" s="636"/>
      <c r="G99" s="636"/>
      <c r="H99" s="636"/>
      <c r="I99" s="636"/>
      <c r="J99" s="636"/>
      <c r="K99" s="636"/>
      <c r="L99" s="636"/>
    </row>
    <row r="100" spans="3:12" ht="12.75"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</row>
    <row r="101" spans="3:12" ht="12.75">
      <c r="C101" s="636"/>
      <c r="D101" s="636"/>
      <c r="E101" s="636"/>
      <c r="F101" s="636"/>
      <c r="G101" s="636"/>
      <c r="H101" s="636"/>
      <c r="I101" s="636"/>
      <c r="J101" s="636"/>
      <c r="K101" s="636"/>
      <c r="L101" s="636"/>
    </row>
    <row r="102" spans="3:12" ht="12.75">
      <c r="C102" s="636"/>
      <c r="D102" s="636"/>
      <c r="E102" s="636"/>
      <c r="F102" s="636"/>
      <c r="G102" s="636"/>
      <c r="H102" s="636"/>
      <c r="I102" s="636"/>
      <c r="J102" s="636"/>
      <c r="K102" s="636"/>
      <c r="L102" s="636"/>
    </row>
    <row r="103" spans="3:12" ht="12.75">
      <c r="C103" s="636"/>
      <c r="D103" s="636"/>
      <c r="E103" s="636"/>
      <c r="F103" s="636"/>
      <c r="G103" s="636"/>
      <c r="H103" s="636"/>
      <c r="I103" s="636"/>
      <c r="J103" s="636"/>
      <c r="K103" s="636"/>
      <c r="L103" s="636"/>
    </row>
    <row r="104" spans="3:12" ht="12.75">
      <c r="C104" s="636"/>
      <c r="D104" s="636"/>
      <c r="E104" s="636"/>
      <c r="F104" s="636"/>
      <c r="G104" s="636"/>
      <c r="H104" s="636"/>
      <c r="I104" s="636"/>
      <c r="J104" s="636"/>
      <c r="K104" s="636"/>
      <c r="L104" s="636"/>
    </row>
    <row r="105" spans="3:12" ht="12.75">
      <c r="C105" s="636"/>
      <c r="D105" s="636"/>
      <c r="E105" s="636"/>
      <c r="F105" s="636"/>
      <c r="G105" s="636"/>
      <c r="H105" s="636"/>
      <c r="I105" s="636"/>
      <c r="J105" s="636"/>
      <c r="K105" s="636"/>
      <c r="L105" s="636"/>
    </row>
    <row r="106" spans="3:12" ht="12.75">
      <c r="C106" s="636"/>
      <c r="D106" s="636"/>
      <c r="E106" s="636"/>
      <c r="F106" s="636"/>
      <c r="G106" s="636"/>
      <c r="H106" s="636"/>
      <c r="I106" s="636"/>
      <c r="J106" s="636"/>
      <c r="K106" s="636"/>
      <c r="L106" s="636"/>
    </row>
  </sheetData>
  <printOptions/>
  <pageMargins left="0.75" right="0.75" top="1" bottom="1" header="0.4921259845" footer="0.4921259845"/>
  <pageSetup horizontalDpi="600" verticalDpi="600" orientation="portrait" paperSize="9" scale="88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16">
      <selection activeCell="C5" sqref="C5"/>
    </sheetView>
  </sheetViews>
  <sheetFormatPr defaultColWidth="9.00390625" defaultRowHeight="12.75"/>
  <cols>
    <col min="1" max="1" width="66.375" style="465" customWidth="1"/>
    <col min="2" max="2" width="20.00390625" style="466" customWidth="1"/>
    <col min="3" max="3" width="16.00390625" style="466" bestFit="1" customWidth="1"/>
    <col min="4" max="16384" width="9.125" style="467" customWidth="1"/>
  </cols>
  <sheetData>
    <row r="2" spans="1:2" ht="15">
      <c r="A2" s="465" t="s">
        <v>77</v>
      </c>
      <c r="B2" s="466" t="s">
        <v>517</v>
      </c>
    </row>
    <row r="4" ht="18">
      <c r="A4" s="468" t="s">
        <v>680</v>
      </c>
    </row>
    <row r="6" ht="15.75">
      <c r="A6" s="469" t="s">
        <v>555</v>
      </c>
    </row>
    <row r="7" spans="1:2" ht="15">
      <c r="A7" s="465" t="s">
        <v>568</v>
      </c>
      <c r="B7" s="466">
        <v>11199.98</v>
      </c>
    </row>
    <row r="8" spans="1:2" ht="15">
      <c r="A8" s="465" t="s">
        <v>1096</v>
      </c>
      <c r="B8" s="466">
        <v>147531.5</v>
      </c>
    </row>
    <row r="9" spans="1:2" ht="15">
      <c r="A9" s="465" t="s">
        <v>570</v>
      </c>
      <c r="B9" s="466">
        <v>0</v>
      </c>
    </row>
    <row r="10" spans="1:2" ht="15">
      <c r="A10" s="465" t="s">
        <v>572</v>
      </c>
      <c r="B10" s="466">
        <v>157917.24</v>
      </c>
    </row>
    <row r="12" ht="15.75">
      <c r="A12" s="469" t="s">
        <v>558</v>
      </c>
    </row>
    <row r="13" spans="1:2" ht="15">
      <c r="A13" s="465" t="s">
        <v>568</v>
      </c>
      <c r="B13" s="466">
        <v>962182.92</v>
      </c>
    </row>
    <row r="14" spans="1:2" ht="15">
      <c r="A14" s="465" t="s">
        <v>1096</v>
      </c>
      <c r="B14" s="466">
        <v>665000</v>
      </c>
    </row>
    <row r="15" spans="1:2" ht="15">
      <c r="A15" s="465" t="s">
        <v>571</v>
      </c>
      <c r="B15" s="466">
        <v>665000</v>
      </c>
    </row>
    <row r="16" spans="1:2" ht="15">
      <c r="A16" s="465" t="s">
        <v>572</v>
      </c>
      <c r="B16" s="466">
        <f>B13</f>
        <v>962182.92</v>
      </c>
    </row>
    <row r="17" ht="15">
      <c r="A17" s="471"/>
    </row>
    <row r="18" ht="15.75">
      <c r="A18" s="469" t="s">
        <v>559</v>
      </c>
    </row>
    <row r="19" spans="1:2" ht="15">
      <c r="A19" s="465" t="s">
        <v>568</v>
      </c>
      <c r="B19" s="472">
        <v>1487362.32</v>
      </c>
    </row>
    <row r="20" spans="1:2" ht="15">
      <c r="A20" s="465" t="s">
        <v>1096</v>
      </c>
      <c r="B20" s="466">
        <v>0</v>
      </c>
    </row>
    <row r="21" spans="1:2" ht="15">
      <c r="A21" s="465" t="s">
        <v>570</v>
      </c>
      <c r="B21" s="466">
        <v>0</v>
      </c>
    </row>
    <row r="22" spans="1:2" ht="15">
      <c r="A22" s="465" t="s">
        <v>572</v>
      </c>
      <c r="B22" s="466">
        <v>1487362.32</v>
      </c>
    </row>
    <row r="24" ht="15.75">
      <c r="A24" s="469" t="s">
        <v>560</v>
      </c>
    </row>
    <row r="25" spans="1:2" ht="15">
      <c r="A25" s="465" t="s">
        <v>568</v>
      </c>
      <c r="B25" s="466">
        <v>559594.84</v>
      </c>
    </row>
    <row r="26" spans="1:2" ht="15">
      <c r="A26" s="465" t="s">
        <v>569</v>
      </c>
      <c r="B26" s="473">
        <v>385732</v>
      </c>
    </row>
    <row r="27" spans="1:2" ht="15">
      <c r="A27" s="465" t="s">
        <v>570</v>
      </c>
      <c r="B27" s="470">
        <v>0</v>
      </c>
    </row>
    <row r="28" spans="1:2" ht="15">
      <c r="A28" s="465" t="s">
        <v>572</v>
      </c>
      <c r="B28" s="466">
        <f>B25+B26-B27</f>
        <v>945326.84</v>
      </c>
    </row>
    <row r="30" ht="15.75">
      <c r="A30" s="469" t="s">
        <v>561</v>
      </c>
    </row>
    <row r="31" spans="1:2" ht="15">
      <c r="A31" s="465" t="s">
        <v>568</v>
      </c>
      <c r="B31" s="466">
        <v>939225.26</v>
      </c>
    </row>
    <row r="32" spans="1:2" ht="15">
      <c r="A32" s="465" t="s">
        <v>562</v>
      </c>
      <c r="B32" s="466">
        <v>50000</v>
      </c>
    </row>
    <row r="33" spans="1:2" ht="15">
      <c r="A33" s="465" t="s">
        <v>1096</v>
      </c>
      <c r="B33" s="466">
        <v>9702435</v>
      </c>
    </row>
    <row r="34" spans="1:2" ht="15">
      <c r="A34" s="465" t="s">
        <v>570</v>
      </c>
      <c r="B34" s="466">
        <v>9516666.67</v>
      </c>
    </row>
    <row r="35" spans="1:2" ht="15">
      <c r="A35" s="465" t="s">
        <v>557</v>
      </c>
      <c r="B35" s="466">
        <v>8946.75</v>
      </c>
    </row>
    <row r="36" spans="1:2" ht="15">
      <c r="A36" s="465" t="s">
        <v>556</v>
      </c>
      <c r="B36" s="466">
        <v>2019</v>
      </c>
    </row>
    <row r="37" spans="1:2" ht="15">
      <c r="A37" s="465" t="s">
        <v>572</v>
      </c>
      <c r="B37" s="466">
        <f>B31+B33+B35-B34-B36+B32</f>
        <v>1181921.3399999999</v>
      </c>
    </row>
    <row r="38" ht="15">
      <c r="A38" s="474"/>
    </row>
    <row r="39" spans="1:3" s="476" customFormat="1" ht="15.75">
      <c r="A39" s="465" t="s">
        <v>570</v>
      </c>
      <c r="B39" s="466"/>
      <c r="C39" s="475"/>
    </row>
    <row r="40" ht="15">
      <c r="A40" s="465" t="s">
        <v>564</v>
      </c>
    </row>
    <row r="41" ht="15">
      <c r="A41" s="465" t="s">
        <v>573</v>
      </c>
    </row>
    <row r="42" spans="1:2" ht="15">
      <c r="A42" s="465" t="s">
        <v>565</v>
      </c>
      <c r="B42" s="466">
        <f>750000</f>
        <v>750000</v>
      </c>
    </row>
    <row r="43" ht="15">
      <c r="A43" s="465" t="s">
        <v>574</v>
      </c>
    </row>
    <row r="44" spans="1:2" ht="15">
      <c r="A44" s="465" t="s">
        <v>566</v>
      </c>
      <c r="B44" s="466">
        <f>2966666.67+2600000</f>
        <v>5566666.67</v>
      </c>
    </row>
    <row r="45" spans="1:2" ht="15">
      <c r="A45" s="465" t="s">
        <v>575</v>
      </c>
      <c r="B45" s="466">
        <v>3200000</v>
      </c>
    </row>
    <row r="49" ht="15">
      <c r="A49" s="474" t="s">
        <v>563</v>
      </c>
    </row>
    <row r="51" ht="15.75">
      <c r="A51" s="469" t="s">
        <v>567</v>
      </c>
    </row>
    <row r="52" spans="1:2" ht="15">
      <c r="A52" s="465" t="s">
        <v>568</v>
      </c>
      <c r="B52" s="466">
        <v>51423.93</v>
      </c>
    </row>
    <row r="53" spans="1:2" ht="15">
      <c r="A53" s="465" t="s">
        <v>1096</v>
      </c>
      <c r="B53" s="473">
        <v>0</v>
      </c>
    </row>
    <row r="54" spans="1:2" ht="15">
      <c r="A54" s="465" t="s">
        <v>570</v>
      </c>
      <c r="B54" s="470">
        <v>788.93</v>
      </c>
    </row>
    <row r="55" spans="1:2" ht="15">
      <c r="A55" s="465" t="s">
        <v>679</v>
      </c>
      <c r="B55" s="466">
        <v>50635</v>
      </c>
    </row>
    <row r="61" ht="15.75">
      <c r="A61" s="46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L64"/>
  <sheetViews>
    <sheetView workbookViewId="0" topLeftCell="A22">
      <selection activeCell="J36" sqref="J36"/>
    </sheetView>
  </sheetViews>
  <sheetFormatPr defaultColWidth="9.00390625" defaultRowHeight="12.75"/>
  <cols>
    <col min="1" max="1" width="2.375" style="35" customWidth="1"/>
    <col min="2" max="2" width="4.25390625" style="35" hidden="1" customWidth="1"/>
    <col min="3" max="3" width="30.375" style="35" customWidth="1"/>
    <col min="4" max="4" width="4.625" style="35" customWidth="1"/>
    <col min="5" max="5" width="21.375" style="35" customWidth="1"/>
    <col min="6" max="6" width="21.125" style="35" customWidth="1"/>
    <col min="7" max="7" width="7.875" style="766" customWidth="1"/>
    <col min="8" max="16384" width="9.125" style="35" customWidth="1"/>
  </cols>
  <sheetData>
    <row r="1" spans="3:12" ht="14.25">
      <c r="C1" s="36"/>
      <c r="D1" s="36"/>
      <c r="E1" s="36"/>
      <c r="F1" s="36"/>
      <c r="G1" s="761"/>
      <c r="H1" s="36"/>
      <c r="I1" s="36"/>
      <c r="J1" s="36"/>
      <c r="K1" s="36"/>
      <c r="L1" s="36"/>
    </row>
    <row r="2" spans="3:12" ht="14.25">
      <c r="C2" s="36"/>
      <c r="D2" s="36"/>
      <c r="E2" s="36"/>
      <c r="F2" s="36"/>
      <c r="G2" s="761"/>
      <c r="H2" s="36"/>
      <c r="I2" s="36"/>
      <c r="J2" s="36"/>
      <c r="K2" s="36"/>
      <c r="L2" s="36"/>
    </row>
    <row r="3" spans="3:12" ht="14.25">
      <c r="C3" s="37" t="s">
        <v>77</v>
      </c>
      <c r="D3" s="37"/>
      <c r="E3" s="38"/>
      <c r="F3" s="38"/>
      <c r="G3" s="762"/>
      <c r="H3" s="39"/>
      <c r="I3" s="39"/>
      <c r="J3" s="39"/>
      <c r="K3" s="39"/>
      <c r="L3" s="39"/>
    </row>
    <row r="4" spans="3:12" ht="20.25">
      <c r="C4" s="179" t="s">
        <v>445</v>
      </c>
      <c r="D4" s="179"/>
      <c r="E4" s="40"/>
      <c r="F4" s="40"/>
      <c r="G4" s="763"/>
      <c r="H4" s="41"/>
      <c r="I4" s="41"/>
      <c r="J4" s="41"/>
      <c r="K4" s="41"/>
      <c r="L4" s="41"/>
    </row>
    <row r="5" spans="3:12" ht="15">
      <c r="C5" s="37"/>
      <c r="D5" s="37"/>
      <c r="E5" s="38"/>
      <c r="F5" s="757" t="s">
        <v>78</v>
      </c>
      <c r="G5" s="764"/>
      <c r="H5" s="39"/>
      <c r="I5" s="39"/>
      <c r="J5" s="39"/>
      <c r="K5" s="39"/>
      <c r="L5" s="39"/>
    </row>
    <row r="6" spans="3:12" ht="15" thickBot="1">
      <c r="C6" s="37"/>
      <c r="D6" s="37"/>
      <c r="E6" s="38"/>
      <c r="F6" s="38"/>
      <c r="G6" s="762"/>
      <c r="H6" s="39"/>
      <c r="I6" s="39"/>
      <c r="J6" s="39"/>
      <c r="K6" s="39"/>
      <c r="L6" s="39"/>
    </row>
    <row r="7" spans="3:12" s="230" customFormat="1" ht="18">
      <c r="C7" s="235"/>
      <c r="D7" s="236"/>
      <c r="E7" s="237" t="s">
        <v>431</v>
      </c>
      <c r="F7" s="237" t="s">
        <v>503</v>
      </c>
      <c r="G7" s="765"/>
      <c r="H7" s="231"/>
      <c r="I7" s="231"/>
      <c r="J7" s="231"/>
      <c r="K7" s="231"/>
      <c r="L7" s="231"/>
    </row>
    <row r="8" spans="3:12" s="230" customFormat="1" ht="18">
      <c r="C8" s="238" t="s">
        <v>3</v>
      </c>
      <c r="D8" s="239"/>
      <c r="E8" s="240" t="s">
        <v>432</v>
      </c>
      <c r="F8" s="240" t="s">
        <v>81</v>
      </c>
      <c r="G8" s="765"/>
      <c r="H8" s="231"/>
      <c r="I8" s="231"/>
      <c r="J8" s="231"/>
      <c r="K8" s="231"/>
      <c r="L8" s="231"/>
    </row>
    <row r="9" spans="3:12" s="230" customFormat="1" ht="18.75" thickBot="1">
      <c r="C9" s="241"/>
      <c r="D9" s="242"/>
      <c r="E9" s="243">
        <v>2006</v>
      </c>
      <c r="F9" s="243" t="s">
        <v>504</v>
      </c>
      <c r="G9" s="765"/>
      <c r="H9" s="231"/>
      <c r="I9" s="231"/>
      <c r="J9" s="231"/>
      <c r="K9" s="231"/>
      <c r="L9" s="231"/>
    </row>
    <row r="10" spans="3:12" ht="15.75">
      <c r="C10" s="155" t="s">
        <v>82</v>
      </c>
      <c r="D10" s="130"/>
      <c r="E10" s="131"/>
      <c r="F10" s="131"/>
      <c r="G10" s="758"/>
      <c r="H10" s="39"/>
      <c r="I10" s="39"/>
      <c r="J10" s="39"/>
      <c r="K10" s="39"/>
      <c r="L10" s="39"/>
    </row>
    <row r="11" spans="3:12" ht="15">
      <c r="C11" s="132"/>
      <c r="D11" s="132"/>
      <c r="E11" s="131"/>
      <c r="F11" s="131"/>
      <c r="G11" s="758"/>
      <c r="H11" s="39"/>
      <c r="I11" s="39"/>
      <c r="J11" s="39"/>
      <c r="K11" s="39"/>
      <c r="L11" s="39"/>
    </row>
    <row r="12" spans="3:12" ht="15">
      <c r="C12" s="133" t="s">
        <v>83</v>
      </c>
      <c r="D12" s="134" t="s">
        <v>84</v>
      </c>
      <c r="E12" s="135">
        <v>167000</v>
      </c>
      <c r="F12" s="135">
        <v>166171</v>
      </c>
      <c r="G12" s="759"/>
      <c r="H12" s="39"/>
      <c r="I12" s="39"/>
      <c r="J12" s="39"/>
      <c r="K12" s="39"/>
      <c r="L12" s="39"/>
    </row>
    <row r="13" spans="3:12" ht="15">
      <c r="C13" s="133" t="s">
        <v>85</v>
      </c>
      <c r="D13" s="134" t="s">
        <v>84</v>
      </c>
      <c r="E13" s="135">
        <v>257860</v>
      </c>
      <c r="F13" s="135">
        <v>255128</v>
      </c>
      <c r="G13" s="759"/>
      <c r="H13" s="39"/>
      <c r="I13" s="39"/>
      <c r="J13" s="39"/>
      <c r="K13" s="39"/>
      <c r="L13" s="39"/>
    </row>
    <row r="14" spans="3:12" ht="15">
      <c r="C14" s="133" t="s">
        <v>86</v>
      </c>
      <c r="D14" s="134" t="s">
        <v>84</v>
      </c>
      <c r="E14" s="135">
        <v>20000</v>
      </c>
      <c r="F14" s="135">
        <v>104600</v>
      </c>
      <c r="G14" s="759"/>
      <c r="H14" s="39"/>
      <c r="I14" s="39"/>
      <c r="J14" s="39"/>
      <c r="K14" s="39"/>
      <c r="L14" s="39"/>
    </row>
    <row r="15" spans="3:12" ht="15">
      <c r="C15" s="133" t="s">
        <v>87</v>
      </c>
      <c r="D15" s="134" t="s">
        <v>84</v>
      </c>
      <c r="E15" s="135">
        <v>82200</v>
      </c>
      <c r="F15" s="135">
        <v>82118</v>
      </c>
      <c r="G15" s="759"/>
      <c r="H15" s="39"/>
      <c r="I15" s="39"/>
      <c r="J15" s="39"/>
      <c r="K15" s="39"/>
      <c r="L15" s="39"/>
    </row>
    <row r="16" spans="3:12" ht="15">
      <c r="C16" s="133" t="s">
        <v>88</v>
      </c>
      <c r="D16" s="134" t="s">
        <v>89</v>
      </c>
      <c r="E16" s="135">
        <v>339</v>
      </c>
      <c r="F16" s="135">
        <v>338</v>
      </c>
      <c r="G16" s="759"/>
      <c r="H16" s="39"/>
      <c r="I16" s="39"/>
      <c r="J16" s="39"/>
      <c r="K16" s="39"/>
      <c r="L16" s="39"/>
    </row>
    <row r="17" spans="3:12" ht="15">
      <c r="C17" s="133" t="s">
        <v>90</v>
      </c>
      <c r="D17" s="134" t="s">
        <v>91</v>
      </c>
      <c r="E17" s="135">
        <v>20292</v>
      </c>
      <c r="F17" s="135">
        <v>20185</v>
      </c>
      <c r="G17" s="759"/>
      <c r="H17" s="39"/>
      <c r="I17" s="39"/>
      <c r="J17" s="39"/>
      <c r="K17" s="39"/>
      <c r="L17" s="39"/>
    </row>
    <row r="18" spans="3:12" s="42" customFormat="1" ht="15.75">
      <c r="C18" s="136" t="s">
        <v>92</v>
      </c>
      <c r="D18" s="134" t="s">
        <v>84</v>
      </c>
      <c r="E18" s="137">
        <v>90000</v>
      </c>
      <c r="F18" s="137">
        <v>88832</v>
      </c>
      <c r="G18" s="760"/>
      <c r="H18" s="379"/>
      <c r="I18" s="43"/>
      <c r="J18" s="43"/>
      <c r="K18" s="43"/>
      <c r="L18" s="43"/>
    </row>
    <row r="19" spans="3:12" s="42" customFormat="1" ht="15.75">
      <c r="C19" s="381" t="s">
        <v>93</v>
      </c>
      <c r="D19" s="384" t="s">
        <v>84</v>
      </c>
      <c r="E19" s="383">
        <v>80000</v>
      </c>
      <c r="F19" s="383">
        <v>72000</v>
      </c>
      <c r="G19" s="760"/>
      <c r="H19" s="379"/>
      <c r="I19" s="379"/>
      <c r="J19" s="43"/>
      <c r="K19" s="43"/>
      <c r="L19" s="43"/>
    </row>
    <row r="20" spans="3:12" s="42" customFormat="1" ht="15.75">
      <c r="C20" s="381" t="s">
        <v>94</v>
      </c>
      <c r="D20" s="384" t="s">
        <v>84</v>
      </c>
      <c r="E20" s="383">
        <v>10000</v>
      </c>
      <c r="F20" s="383">
        <v>8232</v>
      </c>
      <c r="G20" s="760"/>
      <c r="H20" s="379"/>
      <c r="I20" s="379"/>
      <c r="J20" s="379"/>
      <c r="K20" s="43"/>
      <c r="L20" s="43"/>
    </row>
    <row r="21" spans="3:12" s="42" customFormat="1" ht="15.75">
      <c r="C21" s="136" t="s">
        <v>554</v>
      </c>
      <c r="D21" s="134" t="s">
        <v>84</v>
      </c>
      <c r="E21" s="137">
        <v>10826</v>
      </c>
      <c r="F21" s="137">
        <v>10826</v>
      </c>
      <c r="G21" s="760"/>
      <c r="H21" s="43"/>
      <c r="I21" s="43"/>
      <c r="J21" s="43"/>
      <c r="K21" s="43"/>
      <c r="L21" s="43"/>
    </row>
    <row r="22" spans="3:12" s="42" customFormat="1" ht="15.75">
      <c r="C22" s="136" t="s">
        <v>553</v>
      </c>
      <c r="D22" s="134"/>
      <c r="E22" s="137">
        <v>0</v>
      </c>
      <c r="F22" s="137">
        <v>40000</v>
      </c>
      <c r="G22" s="760"/>
      <c r="H22" s="379"/>
      <c r="I22" s="43"/>
      <c r="J22" s="43"/>
      <c r="K22" s="43"/>
      <c r="L22" s="43"/>
    </row>
    <row r="23" spans="3:12" ht="15">
      <c r="C23" s="133" t="s">
        <v>26</v>
      </c>
      <c r="D23" s="134" t="s">
        <v>84</v>
      </c>
      <c r="E23" s="135" t="s">
        <v>485</v>
      </c>
      <c r="F23" s="135">
        <f>F12+F19+F21-F13</f>
        <v>-6131</v>
      </c>
      <c r="G23" s="759"/>
      <c r="H23" s="39"/>
      <c r="I23" s="464"/>
      <c r="J23" s="39"/>
      <c r="K23" s="39"/>
      <c r="L23" s="39"/>
    </row>
    <row r="24" spans="3:12" ht="15.75" thickBot="1">
      <c r="C24" s="138" t="s">
        <v>95</v>
      </c>
      <c r="D24" s="138" t="s">
        <v>91</v>
      </c>
      <c r="E24" s="139">
        <v>120000</v>
      </c>
      <c r="F24" s="139">
        <v>118000</v>
      </c>
      <c r="G24" s="759"/>
      <c r="H24" s="39"/>
      <c r="I24" s="39"/>
      <c r="J24" s="39"/>
      <c r="K24" s="39"/>
      <c r="L24" s="39"/>
    </row>
    <row r="25" spans="3:12" ht="15.75">
      <c r="C25" s="156" t="s">
        <v>96</v>
      </c>
      <c r="D25" s="142"/>
      <c r="E25" s="141"/>
      <c r="F25" s="141"/>
      <c r="G25" s="758"/>
      <c r="H25" s="39"/>
      <c r="I25" s="39"/>
      <c r="J25" s="39"/>
      <c r="K25" s="39"/>
      <c r="L25" s="39"/>
    </row>
    <row r="26" spans="3:12" ht="15">
      <c r="C26" s="140"/>
      <c r="D26" s="140"/>
      <c r="E26" s="143"/>
      <c r="F26" s="143"/>
      <c r="G26" s="758"/>
      <c r="H26" s="39"/>
      <c r="I26" s="39"/>
      <c r="J26" s="39"/>
      <c r="K26" s="39"/>
      <c r="L26" s="39"/>
    </row>
    <row r="27" spans="3:12" ht="15">
      <c r="C27" s="144" t="s">
        <v>83</v>
      </c>
      <c r="D27" s="144" t="s">
        <v>84</v>
      </c>
      <c r="E27" s="145">
        <v>4427</v>
      </c>
      <c r="F27" s="145">
        <v>4279</v>
      </c>
      <c r="G27" s="759"/>
      <c r="H27" s="39"/>
      <c r="I27" s="39"/>
      <c r="J27" s="39"/>
      <c r="K27" s="39"/>
      <c r="L27" s="39"/>
    </row>
    <row r="28" spans="3:12" ht="15">
      <c r="C28" s="144" t="s">
        <v>85</v>
      </c>
      <c r="D28" s="146" t="s">
        <v>84</v>
      </c>
      <c r="E28" s="147">
        <v>17904</v>
      </c>
      <c r="F28" s="147">
        <v>19453</v>
      </c>
      <c r="G28" s="759"/>
      <c r="H28" s="39"/>
      <c r="I28" s="39"/>
      <c r="J28" s="39"/>
      <c r="K28" s="39"/>
      <c r="L28" s="39"/>
    </row>
    <row r="29" spans="3:12" ht="15">
      <c r="C29" s="144" t="s">
        <v>97</v>
      </c>
      <c r="D29" s="146" t="s">
        <v>84</v>
      </c>
      <c r="E29" s="147">
        <v>1500</v>
      </c>
      <c r="F29" s="147">
        <v>378</v>
      </c>
      <c r="G29" s="759"/>
      <c r="H29" s="39"/>
      <c r="I29" s="39"/>
      <c r="J29" s="39"/>
      <c r="K29" s="39"/>
      <c r="L29" s="39"/>
    </row>
    <row r="30" spans="3:12" ht="15">
      <c r="C30" s="144" t="s">
        <v>87</v>
      </c>
      <c r="D30" s="146" t="s">
        <v>84</v>
      </c>
      <c r="E30" s="147">
        <v>7516</v>
      </c>
      <c r="F30" s="147">
        <v>6942</v>
      </c>
      <c r="G30" s="759"/>
      <c r="H30" s="39"/>
      <c r="I30" s="39"/>
      <c r="J30" s="39"/>
      <c r="K30" s="39"/>
      <c r="L30" s="39"/>
    </row>
    <row r="31" spans="3:12" ht="15">
      <c r="C31" s="144" t="s">
        <v>88</v>
      </c>
      <c r="D31" s="146" t="s">
        <v>98</v>
      </c>
      <c r="E31" s="147">
        <v>31</v>
      </c>
      <c r="F31" s="147">
        <v>29</v>
      </c>
      <c r="G31" s="759"/>
      <c r="H31" s="39"/>
      <c r="I31" s="39"/>
      <c r="J31" s="39"/>
      <c r="K31" s="39"/>
      <c r="L31" s="39"/>
    </row>
    <row r="32" spans="3:12" ht="15">
      <c r="C32" s="144" t="s">
        <v>90</v>
      </c>
      <c r="D32" s="146" t="s">
        <v>91</v>
      </c>
      <c r="E32" s="147">
        <v>18161</v>
      </c>
      <c r="F32" s="147">
        <v>18287</v>
      </c>
      <c r="G32" s="759"/>
      <c r="H32" s="36"/>
      <c r="I32" s="36"/>
      <c r="J32" s="36"/>
      <c r="K32" s="36"/>
      <c r="L32" s="36"/>
    </row>
    <row r="33" spans="3:12" s="42" customFormat="1" ht="15.75">
      <c r="C33" s="148" t="s">
        <v>99</v>
      </c>
      <c r="D33" s="146" t="s">
        <v>84</v>
      </c>
      <c r="E33" s="149">
        <v>14977</v>
      </c>
      <c r="F33" s="149">
        <f>F34+F35+F36+F37</f>
        <v>15687</v>
      </c>
      <c r="G33" s="760"/>
      <c r="H33" s="44"/>
      <c r="I33" s="44"/>
      <c r="J33" s="44"/>
      <c r="K33" s="44"/>
      <c r="L33" s="44"/>
    </row>
    <row r="34" spans="3:12" s="42" customFormat="1" ht="15.75">
      <c r="C34" s="381" t="s">
        <v>93</v>
      </c>
      <c r="D34" s="382" t="s">
        <v>84</v>
      </c>
      <c r="E34" s="383">
        <f>E33-E35</f>
        <v>13477</v>
      </c>
      <c r="F34" s="383">
        <v>13475</v>
      </c>
      <c r="G34" s="760"/>
      <c r="H34" s="380"/>
      <c r="I34" s="380"/>
      <c r="J34" s="44"/>
      <c r="K34" s="44"/>
      <c r="L34" s="44"/>
    </row>
    <row r="35" spans="3:12" s="42" customFormat="1" ht="15.75">
      <c r="C35" s="381" t="s">
        <v>94</v>
      </c>
      <c r="D35" s="382" t="s">
        <v>84</v>
      </c>
      <c r="E35" s="383">
        <v>1500</v>
      </c>
      <c r="F35" s="383">
        <v>499</v>
      </c>
      <c r="G35" s="760"/>
      <c r="H35" s="380"/>
      <c r="I35" s="44"/>
      <c r="J35" s="44"/>
      <c r="K35" s="44"/>
      <c r="L35" s="44"/>
    </row>
    <row r="36" spans="3:12" s="42" customFormat="1" ht="15.75">
      <c r="C36" s="148" t="s">
        <v>100</v>
      </c>
      <c r="D36" s="146" t="s">
        <v>84</v>
      </c>
      <c r="E36" s="149"/>
      <c r="F36" s="149">
        <f>550+673</f>
        <v>1223</v>
      </c>
      <c r="G36" s="760"/>
      <c r="H36" s="44"/>
      <c r="I36" s="44"/>
      <c r="J36" s="44"/>
      <c r="K36" s="44"/>
      <c r="L36" s="44"/>
    </row>
    <row r="37" spans="3:12" s="42" customFormat="1" ht="15.75">
      <c r="C37" s="148" t="s">
        <v>516</v>
      </c>
      <c r="D37" s="146" t="s">
        <v>84</v>
      </c>
      <c r="E37" s="149"/>
      <c r="F37" s="149">
        <f>475+15</f>
        <v>490</v>
      </c>
      <c r="G37" s="760"/>
      <c r="H37" s="44"/>
      <c r="I37" s="44"/>
      <c r="J37" s="44"/>
      <c r="K37" s="44"/>
      <c r="L37" s="44"/>
    </row>
    <row r="38" spans="3:12" ht="15">
      <c r="C38" s="144" t="s">
        <v>26</v>
      </c>
      <c r="D38" s="146" t="s">
        <v>84</v>
      </c>
      <c r="E38" s="147"/>
      <c r="F38" s="147">
        <v>14</v>
      </c>
      <c r="G38" s="759"/>
      <c r="H38" s="36"/>
      <c r="I38" s="36"/>
      <c r="J38" s="36"/>
      <c r="K38" s="36"/>
      <c r="L38" s="36"/>
    </row>
    <row r="39" spans="3:12" ht="15.75" thickBot="1">
      <c r="C39" s="150" t="s">
        <v>101</v>
      </c>
      <c r="D39" s="150" t="s">
        <v>91</v>
      </c>
      <c r="E39" s="151">
        <v>30000</v>
      </c>
      <c r="F39" s="151">
        <v>30000</v>
      </c>
      <c r="G39" s="759"/>
      <c r="H39" s="36"/>
      <c r="I39" s="36"/>
      <c r="J39" s="36"/>
      <c r="K39" s="36"/>
      <c r="L39" s="36"/>
    </row>
    <row r="40" spans="3:12" ht="15.75">
      <c r="C40" s="156" t="s">
        <v>102</v>
      </c>
      <c r="D40" s="309"/>
      <c r="E40" s="143"/>
      <c r="F40" s="143"/>
      <c r="G40" s="758"/>
      <c r="H40" s="36"/>
      <c r="I40" s="36"/>
      <c r="J40" s="36"/>
      <c r="K40" s="36"/>
      <c r="L40" s="36"/>
    </row>
    <row r="41" spans="3:12" ht="15.75">
      <c r="C41" s="156" t="s">
        <v>105</v>
      </c>
      <c r="D41" s="154"/>
      <c r="E41" s="308"/>
      <c r="F41" s="308"/>
      <c r="G41" s="758"/>
      <c r="H41" s="36"/>
      <c r="I41" s="36"/>
      <c r="J41" s="36"/>
      <c r="K41" s="36"/>
      <c r="L41" s="36"/>
    </row>
    <row r="42" spans="3:12" ht="15">
      <c r="C42" s="144" t="s">
        <v>83</v>
      </c>
      <c r="D42" s="152" t="s">
        <v>84</v>
      </c>
      <c r="E42" s="147">
        <v>11815</v>
      </c>
      <c r="F42" s="147">
        <v>12033</v>
      </c>
      <c r="G42" s="759"/>
      <c r="H42" s="36"/>
      <c r="I42" s="36"/>
      <c r="J42" s="36"/>
      <c r="K42" s="36"/>
      <c r="L42" s="36"/>
    </row>
    <row r="43" spans="3:12" ht="15">
      <c r="C43" s="144" t="s">
        <v>85</v>
      </c>
      <c r="D43" s="152" t="s">
        <v>84</v>
      </c>
      <c r="E43" s="147">
        <v>26365</v>
      </c>
      <c r="F43" s="147">
        <v>22702</v>
      </c>
      <c r="G43" s="759"/>
      <c r="H43" s="36"/>
      <c r="I43" s="36"/>
      <c r="J43" s="36"/>
      <c r="K43" s="36"/>
      <c r="L43" s="36"/>
    </row>
    <row r="44" spans="3:12" ht="15">
      <c r="C44" s="144" t="s">
        <v>86</v>
      </c>
      <c r="D44" s="152" t="s">
        <v>84</v>
      </c>
      <c r="E44" s="147">
        <v>200</v>
      </c>
      <c r="F44" s="147">
        <v>65</v>
      </c>
      <c r="G44" s="759"/>
      <c r="H44" s="36"/>
      <c r="I44" s="36"/>
      <c r="J44" s="36"/>
      <c r="K44" s="36"/>
      <c r="L44" s="36"/>
    </row>
    <row r="45" spans="3:12" ht="15">
      <c r="C45" s="144" t="s">
        <v>87</v>
      </c>
      <c r="D45" s="152" t="s">
        <v>84</v>
      </c>
      <c r="E45" s="147">
        <v>8700</v>
      </c>
      <c r="F45" s="147">
        <v>8121</v>
      </c>
      <c r="G45" s="759"/>
      <c r="H45" s="36"/>
      <c r="I45" s="36"/>
      <c r="J45" s="36"/>
      <c r="K45" s="36"/>
      <c r="L45" s="36"/>
    </row>
    <row r="46" spans="3:12" ht="15">
      <c r="C46" s="144" t="s">
        <v>88</v>
      </c>
      <c r="D46" s="152" t="s">
        <v>98</v>
      </c>
      <c r="E46" s="147">
        <v>56</v>
      </c>
      <c r="F46" s="147">
        <v>42</v>
      </c>
      <c r="G46" s="759"/>
      <c r="H46" s="36"/>
      <c r="I46" s="36"/>
      <c r="J46" s="36"/>
      <c r="K46" s="36"/>
      <c r="L46" s="36"/>
    </row>
    <row r="47" spans="3:12" ht="15">
      <c r="C47" s="153" t="s">
        <v>90</v>
      </c>
      <c r="D47" s="152" t="s">
        <v>103</v>
      </c>
      <c r="E47" s="145">
        <v>13307</v>
      </c>
      <c r="F47" s="145">
        <v>13270</v>
      </c>
      <c r="G47" s="759"/>
      <c r="H47" s="36"/>
      <c r="I47" s="36"/>
      <c r="J47" s="36"/>
      <c r="K47" s="36"/>
      <c r="L47" s="36"/>
    </row>
    <row r="48" spans="3:12" s="42" customFormat="1" ht="15.75">
      <c r="C48" s="381" t="s">
        <v>99</v>
      </c>
      <c r="D48" s="384" t="s">
        <v>84</v>
      </c>
      <c r="E48" s="767">
        <v>14750</v>
      </c>
      <c r="F48" s="767">
        <v>9065</v>
      </c>
      <c r="G48" s="760"/>
      <c r="H48" s="380"/>
      <c r="I48" s="44"/>
      <c r="J48" s="44"/>
      <c r="K48" s="44"/>
      <c r="L48" s="44"/>
    </row>
    <row r="49" spans="3:12" s="42" customFormat="1" ht="15.75">
      <c r="C49" s="381" t="s">
        <v>93</v>
      </c>
      <c r="D49" s="384" t="s">
        <v>84</v>
      </c>
      <c r="E49" s="767">
        <v>14550</v>
      </c>
      <c r="F49" s="767">
        <v>9000</v>
      </c>
      <c r="G49" s="760"/>
      <c r="H49" s="380"/>
      <c r="I49" s="44"/>
      <c r="J49" s="44"/>
      <c r="K49" s="44"/>
      <c r="L49" s="44"/>
    </row>
    <row r="50" spans="3:12" s="42" customFormat="1" ht="15.75">
      <c r="C50" s="381" t="s">
        <v>935</v>
      </c>
      <c r="D50" s="384" t="s">
        <v>84</v>
      </c>
      <c r="E50" s="767">
        <v>200</v>
      </c>
      <c r="F50" s="767">
        <v>65</v>
      </c>
      <c r="G50" s="760"/>
      <c r="H50" s="44"/>
      <c r="I50" s="44"/>
      <c r="J50" s="44"/>
      <c r="K50" s="44"/>
      <c r="L50" s="44"/>
    </row>
    <row r="51" spans="3:12" ht="15">
      <c r="C51" s="144" t="s">
        <v>26</v>
      </c>
      <c r="D51" s="152" t="s">
        <v>84</v>
      </c>
      <c r="E51" s="145"/>
      <c r="F51" s="145">
        <f>F42+F49-F43</f>
        <v>-1669</v>
      </c>
      <c r="G51" s="759"/>
      <c r="H51" s="462"/>
      <c r="I51" s="36"/>
      <c r="J51" s="36"/>
      <c r="K51" s="36"/>
      <c r="L51" s="36"/>
    </row>
    <row r="52" spans="3:12" ht="15.75" thickBot="1">
      <c r="C52" s="150" t="s">
        <v>101</v>
      </c>
      <c r="D52" s="150" t="s">
        <v>91</v>
      </c>
      <c r="E52" s="151">
        <v>20000</v>
      </c>
      <c r="F52" s="151">
        <v>13850</v>
      </c>
      <c r="G52" s="759"/>
      <c r="H52" s="36"/>
      <c r="I52" s="36"/>
      <c r="J52" s="36"/>
      <c r="K52" s="36"/>
      <c r="L52" s="36"/>
    </row>
    <row r="53" spans="3:12" ht="14.25">
      <c r="C53" s="37"/>
      <c r="D53" s="37"/>
      <c r="E53" s="38"/>
      <c r="F53" s="38"/>
      <c r="G53" s="762"/>
      <c r="H53" s="36"/>
      <c r="I53" s="36"/>
      <c r="J53" s="36"/>
      <c r="K53" s="36"/>
      <c r="L53" s="36"/>
    </row>
    <row r="54" spans="3:12" ht="14.25">
      <c r="C54" s="37"/>
      <c r="D54" s="37"/>
      <c r="E54" s="38"/>
      <c r="F54" s="38"/>
      <c r="G54" s="762"/>
      <c r="H54" s="36"/>
      <c r="I54" s="36"/>
      <c r="J54" s="36"/>
      <c r="K54" s="36"/>
      <c r="L54" s="36"/>
    </row>
    <row r="55" spans="3:12" ht="14.25">
      <c r="C55" s="37"/>
      <c r="D55" s="37"/>
      <c r="E55" s="38"/>
      <c r="F55" s="38"/>
      <c r="G55" s="762"/>
      <c r="H55" s="36"/>
      <c r="I55" s="36"/>
      <c r="J55" s="36"/>
      <c r="K55" s="36"/>
      <c r="L55" s="36"/>
    </row>
    <row r="56" spans="3:12" ht="14.25">
      <c r="C56" s="37"/>
      <c r="D56" s="37"/>
      <c r="E56" s="38"/>
      <c r="F56" s="38"/>
      <c r="G56" s="762"/>
      <c r="H56" s="36"/>
      <c r="I56" s="36"/>
      <c r="J56" s="36"/>
      <c r="K56" s="36"/>
      <c r="L56" s="36"/>
    </row>
    <row r="57" spans="3:12" ht="14.25">
      <c r="C57" s="37"/>
      <c r="D57" s="37"/>
      <c r="E57" s="38"/>
      <c r="F57" s="38"/>
      <c r="G57" s="762"/>
      <c r="H57" s="36"/>
      <c r="I57" s="36"/>
      <c r="J57" s="36"/>
      <c r="K57" s="36"/>
      <c r="L57" s="36"/>
    </row>
    <row r="58" spans="3:12" ht="14.25">
      <c r="C58" s="36"/>
      <c r="D58" s="36"/>
      <c r="E58" s="36"/>
      <c r="F58" s="36"/>
      <c r="G58" s="761"/>
      <c r="H58" s="36"/>
      <c r="I58" s="36"/>
      <c r="J58" s="36"/>
      <c r="K58" s="36"/>
      <c r="L58" s="36"/>
    </row>
    <row r="59" spans="3:12" ht="14.25">
      <c r="C59" s="36"/>
      <c r="D59" s="36"/>
      <c r="E59" s="36"/>
      <c r="F59" s="36"/>
      <c r="G59" s="761"/>
      <c r="H59" s="36"/>
      <c r="I59" s="36"/>
      <c r="J59" s="36"/>
      <c r="K59" s="36"/>
      <c r="L59" s="36"/>
    </row>
    <row r="60" spans="3:12" ht="14.25">
      <c r="C60" s="36"/>
      <c r="D60" s="36"/>
      <c r="E60" s="36"/>
      <c r="F60" s="36"/>
      <c r="G60" s="761"/>
      <c r="H60" s="36"/>
      <c r="I60" s="36"/>
      <c r="J60" s="36"/>
      <c r="K60" s="36"/>
      <c r="L60" s="36"/>
    </row>
    <row r="61" spans="3:12" ht="14.25">
      <c r="C61" s="36"/>
      <c r="D61" s="36"/>
      <c r="E61" s="36"/>
      <c r="F61" s="36"/>
      <c r="G61" s="761"/>
      <c r="H61" s="36"/>
      <c r="I61" s="36"/>
      <c r="J61" s="36"/>
      <c r="K61" s="36"/>
      <c r="L61" s="36"/>
    </row>
    <row r="62" spans="3:12" ht="14.25">
      <c r="C62" s="36"/>
      <c r="D62" s="36"/>
      <c r="E62" s="36"/>
      <c r="F62" s="36"/>
      <c r="G62" s="761"/>
      <c r="H62" s="36"/>
      <c r="I62" s="36"/>
      <c r="J62" s="36"/>
      <c r="K62" s="36"/>
      <c r="L62" s="36"/>
    </row>
    <row r="63" spans="3:12" ht="14.25">
      <c r="C63" s="37"/>
      <c r="D63" s="37"/>
      <c r="E63" s="38"/>
      <c r="F63" s="38"/>
      <c r="G63" s="762"/>
      <c r="H63" s="36"/>
      <c r="I63" s="36"/>
      <c r="J63" s="36"/>
      <c r="K63" s="36"/>
      <c r="L63" s="36"/>
    </row>
    <row r="64" spans="3:12" ht="14.25">
      <c r="C64" s="37"/>
      <c r="D64" s="37"/>
      <c r="E64" s="38"/>
      <c r="F64" s="38"/>
      <c r="G64" s="762"/>
      <c r="H64" s="36"/>
      <c r="I64" s="36"/>
      <c r="J64" s="36"/>
      <c r="K64" s="36"/>
      <c r="L64" s="3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7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">
      <selection activeCell="I51" sqref="I51"/>
    </sheetView>
  </sheetViews>
  <sheetFormatPr defaultColWidth="9.00390625" defaultRowHeight="15" customHeight="1"/>
  <cols>
    <col min="1" max="1" width="1.625" style="0" customWidth="1"/>
    <col min="2" max="2" width="25.25390625" style="0" customWidth="1"/>
    <col min="3" max="3" width="17.25390625" style="389" customWidth="1"/>
    <col min="4" max="4" width="18.00390625" style="387" customWidth="1"/>
    <col min="5" max="5" width="21.25390625" style="386" customWidth="1"/>
    <col min="6" max="6" width="4.125" style="0" customWidth="1"/>
    <col min="7" max="7" width="5.875" style="0" customWidth="1"/>
    <col min="8" max="8" width="12.75390625" style="0" bestFit="1" customWidth="1"/>
  </cols>
  <sheetData>
    <row r="1" spans="2:5" ht="15" customHeight="1">
      <c r="B1" s="385" t="s">
        <v>77</v>
      </c>
      <c r="C1" s="386"/>
      <c r="E1" s="388"/>
    </row>
    <row r="2" spans="5:6" ht="17.25" customHeight="1">
      <c r="E2" s="820" t="s">
        <v>1098</v>
      </c>
      <c r="F2" s="820"/>
    </row>
    <row r="3" spans="2:4" ht="25.5" customHeight="1">
      <c r="B3" s="390" t="s">
        <v>1163</v>
      </c>
      <c r="C3" s="391"/>
      <c r="D3" s="392"/>
    </row>
    <row r="4" spans="2:4" ht="21" customHeight="1">
      <c r="B4" s="393"/>
      <c r="C4" s="391" t="s">
        <v>1164</v>
      </c>
      <c r="D4" s="394"/>
    </row>
    <row r="5" spans="2:5" ht="15" customHeight="1">
      <c r="B5" s="393"/>
      <c r="E5" s="386" t="s">
        <v>91</v>
      </c>
    </row>
    <row r="6" ht="7.5" customHeight="1" thickBot="1"/>
    <row r="7" spans="2:5" s="395" customFormat="1" ht="22.5" customHeight="1">
      <c r="B7" s="396" t="s">
        <v>518</v>
      </c>
      <c r="C7" s="397" t="s">
        <v>383</v>
      </c>
      <c r="D7" s="398" t="s">
        <v>519</v>
      </c>
      <c r="E7" s="399" t="s">
        <v>520</v>
      </c>
    </row>
    <row r="8" spans="2:5" s="395" customFormat="1" ht="19.5" customHeight="1" thickBot="1">
      <c r="B8" s="400"/>
      <c r="C8" s="401" t="s">
        <v>384</v>
      </c>
      <c r="D8" s="402" t="s">
        <v>521</v>
      </c>
      <c r="E8" s="403"/>
    </row>
    <row r="9" spans="2:5" ht="15" customHeight="1">
      <c r="B9" s="404" t="s">
        <v>522</v>
      </c>
      <c r="C9" s="405">
        <v>19965553.87</v>
      </c>
      <c r="D9" s="406">
        <v>21033430.14</v>
      </c>
      <c r="E9" s="407">
        <f>SUM(C9:D9)</f>
        <v>40998984.010000005</v>
      </c>
    </row>
    <row r="10" spans="2:5" ht="15" customHeight="1" thickBot="1">
      <c r="B10" s="408" t="s">
        <v>523</v>
      </c>
      <c r="C10" s="409">
        <v>4278852.37</v>
      </c>
      <c r="D10" s="410">
        <v>12033430.14</v>
      </c>
      <c r="E10" s="411">
        <f>SUM(C10:D10)</f>
        <v>16312282.510000002</v>
      </c>
    </row>
    <row r="11" spans="2:5" ht="15" customHeight="1">
      <c r="B11" s="412"/>
      <c r="C11" s="413"/>
      <c r="D11" s="414"/>
      <c r="E11" s="415"/>
    </row>
    <row r="12" spans="2:5" ht="15" customHeight="1">
      <c r="B12" s="416" t="s">
        <v>524</v>
      </c>
      <c r="C12" s="417">
        <v>19830481.11</v>
      </c>
      <c r="D12" s="418">
        <v>22767445.03</v>
      </c>
      <c r="E12" s="419">
        <f>SUM(C12:D12)</f>
        <v>42597926.14</v>
      </c>
    </row>
    <row r="13" spans="2:5" ht="15" customHeight="1">
      <c r="B13" s="420" t="s">
        <v>525</v>
      </c>
      <c r="C13" s="421">
        <v>19452489.11</v>
      </c>
      <c r="D13" s="422">
        <v>22702828.03</v>
      </c>
      <c r="E13" s="419">
        <f>SUM(C13:D13)</f>
        <v>42155317.14</v>
      </c>
    </row>
    <row r="14" spans="2:5" ht="15" customHeight="1" thickBot="1">
      <c r="B14" s="423" t="s">
        <v>526</v>
      </c>
      <c r="C14" s="424">
        <v>498951.5</v>
      </c>
      <c r="D14" s="425">
        <v>64617</v>
      </c>
      <c r="E14" s="426">
        <v>0</v>
      </c>
    </row>
    <row r="15" spans="2:5" ht="15" customHeight="1">
      <c r="B15" s="412"/>
      <c r="C15" s="413"/>
      <c r="D15" s="414"/>
      <c r="E15" s="415"/>
    </row>
    <row r="16" spans="2:5" ht="15" customHeight="1">
      <c r="B16" s="416" t="s">
        <v>527</v>
      </c>
      <c r="C16" s="427">
        <v>15686701.5</v>
      </c>
      <c r="D16" s="418">
        <v>9064617</v>
      </c>
      <c r="E16" s="419">
        <f>SUM(C16:D16)</f>
        <v>24751318.5</v>
      </c>
    </row>
    <row r="17" spans="2:6" ht="15" customHeight="1">
      <c r="B17" s="420" t="s">
        <v>528</v>
      </c>
      <c r="C17" s="428">
        <v>15196701.5</v>
      </c>
      <c r="D17" s="422">
        <v>9064617</v>
      </c>
      <c r="E17" s="419">
        <f>SUM(C17:D17)</f>
        <v>24261318.5</v>
      </c>
      <c r="F17" s="433"/>
    </row>
    <row r="18" spans="2:5" ht="15" customHeight="1">
      <c r="B18" s="420" t="s">
        <v>529</v>
      </c>
      <c r="C18" s="428">
        <v>13475000</v>
      </c>
      <c r="D18" s="422">
        <v>9000000</v>
      </c>
      <c r="E18" s="419">
        <f>SUM(C18:D18)</f>
        <v>22475000</v>
      </c>
    </row>
    <row r="19" spans="2:6" ht="15" customHeight="1">
      <c r="B19" s="423" t="s">
        <v>530</v>
      </c>
      <c r="C19" s="429">
        <v>498951.5</v>
      </c>
      <c r="D19" s="425">
        <v>64617</v>
      </c>
      <c r="E19" s="430">
        <f>SUM(C19:D19)</f>
        <v>563568.5</v>
      </c>
      <c r="F19" s="433"/>
    </row>
    <row r="20" spans="2:8" ht="15" customHeight="1">
      <c r="B20" s="431" t="s">
        <v>531</v>
      </c>
      <c r="C20" s="429"/>
      <c r="D20" s="432"/>
      <c r="E20" s="426"/>
      <c r="H20" s="433"/>
    </row>
    <row r="21" spans="2:5" ht="15" customHeight="1">
      <c r="B21" s="416" t="s">
        <v>532</v>
      </c>
      <c r="C21" s="427">
        <v>550000</v>
      </c>
      <c r="D21" s="418"/>
      <c r="E21" s="419">
        <f>SUM(C21:D21)</f>
        <v>550000</v>
      </c>
    </row>
    <row r="22" spans="2:5" ht="15" customHeight="1" thickBot="1">
      <c r="B22" s="434" t="s">
        <v>533</v>
      </c>
      <c r="C22" s="435">
        <f>490000+672750</f>
        <v>1162750</v>
      </c>
      <c r="D22" s="436"/>
      <c r="E22" s="430">
        <f>SUM(C22:D22)</f>
        <v>1162750</v>
      </c>
    </row>
    <row r="23" spans="2:6" s="26" customFormat="1" ht="15" customHeight="1">
      <c r="B23" s="437"/>
      <c r="C23" s="438"/>
      <c r="D23" s="439"/>
      <c r="E23" s="440"/>
      <c r="F23" s="463"/>
    </row>
    <row r="24" spans="2:6" s="26" customFormat="1" ht="15" customHeight="1" thickBot="1">
      <c r="B24" s="441" t="s">
        <v>534</v>
      </c>
      <c r="C24" s="442">
        <f>C10+C18+C21+C22-C13</f>
        <v>14113.26000000164</v>
      </c>
      <c r="D24" s="442">
        <f>D10+D18+D21+D22-D13</f>
        <v>-1669397.8900000006</v>
      </c>
      <c r="E24" s="443">
        <f>SUM(C24:D24)</f>
        <v>-1655284.629999999</v>
      </c>
      <c r="F24" s="463"/>
    </row>
    <row r="25" spans="2:5" ht="15" customHeight="1">
      <c r="B25" s="412"/>
      <c r="C25" s="413"/>
      <c r="D25" s="414"/>
      <c r="E25" s="415"/>
    </row>
    <row r="26" spans="2:5" ht="15" customHeight="1">
      <c r="B26" s="416" t="s">
        <v>535</v>
      </c>
      <c r="C26" s="417"/>
      <c r="D26" s="418"/>
      <c r="E26" s="419"/>
    </row>
    <row r="27" spans="2:5" ht="15" customHeight="1">
      <c r="B27" s="431" t="s">
        <v>536</v>
      </c>
      <c r="C27" s="424"/>
      <c r="D27" s="432"/>
      <c r="E27" s="426"/>
    </row>
    <row r="28" spans="2:5" ht="15" customHeight="1">
      <c r="B28" s="416" t="s">
        <v>537</v>
      </c>
      <c r="C28" s="417"/>
      <c r="D28" s="418"/>
      <c r="E28" s="419"/>
    </row>
    <row r="29" spans="2:5" ht="15" customHeight="1">
      <c r="B29" s="420" t="s">
        <v>538</v>
      </c>
      <c r="C29" s="421"/>
      <c r="D29" s="422"/>
      <c r="E29" s="444"/>
    </row>
    <row r="30" spans="2:5" ht="15" customHeight="1" thickBot="1">
      <c r="B30" s="408" t="s">
        <v>539</v>
      </c>
      <c r="C30" s="409"/>
      <c r="D30" s="410"/>
      <c r="E30" s="445"/>
    </row>
    <row r="31" spans="2:5" ht="15" customHeight="1">
      <c r="B31" s="412"/>
      <c r="C31" s="413"/>
      <c r="D31" s="414"/>
      <c r="E31" s="415"/>
    </row>
    <row r="32" spans="2:5" ht="15" customHeight="1">
      <c r="B32" s="446" t="s">
        <v>540</v>
      </c>
      <c r="C32" s="447"/>
      <c r="D32" s="448"/>
      <c r="E32" s="430"/>
    </row>
    <row r="33" spans="2:5" ht="15" customHeight="1" thickBot="1">
      <c r="B33" s="449" t="s">
        <v>541</v>
      </c>
      <c r="C33" s="450">
        <v>29961</v>
      </c>
      <c r="D33" s="451">
        <v>13850</v>
      </c>
      <c r="E33" s="460">
        <f>SUM(C33:D33)</f>
        <v>43811</v>
      </c>
    </row>
    <row r="34" spans="2:5" ht="15" customHeight="1">
      <c r="B34" s="412"/>
      <c r="C34" s="413"/>
      <c r="D34" s="414"/>
      <c r="E34" s="415"/>
    </row>
    <row r="35" spans="2:5" ht="15" customHeight="1">
      <c r="B35" s="446" t="s">
        <v>542</v>
      </c>
      <c r="C35" s="447"/>
      <c r="D35" s="448"/>
      <c r="E35" s="430"/>
    </row>
    <row r="36" spans="2:5" ht="15" customHeight="1" thickBot="1">
      <c r="B36" s="449" t="s">
        <v>543</v>
      </c>
      <c r="C36" s="450">
        <v>6941775</v>
      </c>
      <c r="D36" s="451">
        <v>8121066</v>
      </c>
      <c r="E36" s="460">
        <f>SUM(C36:D36)</f>
        <v>15062841</v>
      </c>
    </row>
    <row r="37" spans="2:5" ht="15" customHeight="1">
      <c r="B37" s="446" t="s">
        <v>544</v>
      </c>
      <c r="C37" s="447"/>
      <c r="D37" s="448"/>
      <c r="E37" s="430"/>
    </row>
    <row r="38" spans="2:5" ht="15" customHeight="1">
      <c r="B38" s="446" t="s">
        <v>545</v>
      </c>
      <c r="C38" s="447"/>
      <c r="D38" s="448"/>
      <c r="E38" s="430"/>
    </row>
    <row r="39" spans="2:5" ht="15" customHeight="1">
      <c r="B39" s="446" t="s">
        <v>546</v>
      </c>
      <c r="C39" s="447"/>
      <c r="D39" s="448"/>
      <c r="E39" s="430"/>
    </row>
    <row r="40" spans="2:5" ht="15" customHeight="1" thickBot="1">
      <c r="B40" s="449" t="s">
        <v>547</v>
      </c>
      <c r="C40" s="450"/>
      <c r="D40" s="451"/>
      <c r="E40" s="460"/>
    </row>
    <row r="41" spans="2:5" ht="15" customHeight="1">
      <c r="B41" s="452" t="s">
        <v>548</v>
      </c>
      <c r="C41" s="453"/>
      <c r="D41" s="454"/>
      <c r="E41" s="455"/>
    </row>
    <row r="42" spans="2:5" ht="15" customHeight="1">
      <c r="B42" s="452" t="s">
        <v>549</v>
      </c>
      <c r="C42" s="453"/>
      <c r="D42" s="454"/>
      <c r="E42" s="455"/>
    </row>
    <row r="43" spans="2:5" ht="18" customHeight="1" thickBot="1">
      <c r="B43" s="456" t="s">
        <v>550</v>
      </c>
      <c r="C43" s="457">
        <v>0</v>
      </c>
      <c r="D43" s="458">
        <v>1669397.89</v>
      </c>
      <c r="E43" s="459">
        <f>SUM(C43:D43)</f>
        <v>1669397.89</v>
      </c>
    </row>
    <row r="44" spans="2:5" ht="15" customHeight="1">
      <c r="B44" s="446" t="s">
        <v>548</v>
      </c>
      <c r="C44" s="447"/>
      <c r="D44" s="448"/>
      <c r="E44" s="430"/>
    </row>
    <row r="45" spans="2:5" ht="15" customHeight="1">
      <c r="B45" s="446" t="s">
        <v>551</v>
      </c>
      <c r="C45" s="447"/>
      <c r="D45" s="448"/>
      <c r="E45" s="430"/>
    </row>
    <row r="46" spans="2:5" ht="15" customHeight="1" thickBot="1">
      <c r="B46" s="449" t="s">
        <v>552</v>
      </c>
      <c r="C46" s="450">
        <v>0</v>
      </c>
      <c r="D46" s="451">
        <v>0</v>
      </c>
      <c r="E46" s="460">
        <v>0</v>
      </c>
    </row>
    <row r="47" ht="15" customHeight="1">
      <c r="B47" s="461"/>
    </row>
  </sheetData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34"/>
  <sheetViews>
    <sheetView tabSelected="1" workbookViewId="0" topLeftCell="D1">
      <selection activeCell="L8" sqref="L8"/>
    </sheetView>
  </sheetViews>
  <sheetFormatPr defaultColWidth="9.00390625" defaultRowHeight="12.75"/>
  <cols>
    <col min="1" max="1" width="2.375" style="0" customWidth="1"/>
    <col min="2" max="2" width="46.125" style="0" customWidth="1"/>
    <col min="3" max="3" width="25.875" style="0" hidden="1" customWidth="1"/>
    <col min="4" max="4" width="12.75390625" style="0" customWidth="1"/>
    <col min="5" max="5" width="16.625" style="0" customWidth="1"/>
    <col min="6" max="6" width="17.875" style="0" customWidth="1"/>
    <col min="7" max="7" width="13.625" style="0" customWidth="1"/>
    <col min="8" max="8" width="19.875" style="0" customWidth="1"/>
  </cols>
  <sheetData>
    <row r="2" spans="2:8" ht="18">
      <c r="B2" s="234" t="s">
        <v>444</v>
      </c>
      <c r="C2" s="47"/>
      <c r="D2" s="47"/>
      <c r="E2" s="45"/>
      <c r="F2" s="307"/>
      <c r="G2" s="307"/>
      <c r="H2" s="768" t="s">
        <v>104</v>
      </c>
    </row>
    <row r="3" spans="2:8" ht="18.75" thickBot="1">
      <c r="B3" s="46"/>
      <c r="C3" s="45"/>
      <c r="D3" s="45"/>
      <c r="E3" s="45"/>
      <c r="F3" s="45"/>
      <c r="G3" s="45"/>
      <c r="H3" s="45" t="s">
        <v>106</v>
      </c>
    </row>
    <row r="4" spans="2:8" s="62" customFormat="1" ht="15.75">
      <c r="B4" s="335"/>
      <c r="C4" s="336" t="s">
        <v>79</v>
      </c>
      <c r="D4" s="337" t="s">
        <v>431</v>
      </c>
      <c r="E4" s="337" t="s">
        <v>431</v>
      </c>
      <c r="F4" s="335" t="s">
        <v>431</v>
      </c>
      <c r="G4" s="335" t="s">
        <v>431</v>
      </c>
      <c r="H4" s="335" t="s">
        <v>507</v>
      </c>
    </row>
    <row r="5" spans="2:8" s="62" customFormat="1" ht="15.75">
      <c r="B5" s="338" t="s">
        <v>3</v>
      </c>
      <c r="C5" s="339" t="s">
        <v>81</v>
      </c>
      <c r="D5" s="340" t="s">
        <v>432</v>
      </c>
      <c r="E5" s="340" t="s">
        <v>432</v>
      </c>
      <c r="F5" s="338" t="s">
        <v>432</v>
      </c>
      <c r="G5" s="338" t="s">
        <v>432</v>
      </c>
      <c r="H5" s="338" t="s">
        <v>4</v>
      </c>
    </row>
    <row r="6" spans="2:8" s="62" customFormat="1" ht="16.5" thickBot="1">
      <c r="B6" s="341"/>
      <c r="C6" s="342" t="s">
        <v>5</v>
      </c>
      <c r="D6" s="338" t="s">
        <v>494</v>
      </c>
      <c r="E6" s="343" t="s">
        <v>433</v>
      </c>
      <c r="F6" s="341" t="s">
        <v>442</v>
      </c>
      <c r="G6" s="341">
        <v>2006</v>
      </c>
      <c r="H6" s="341" t="s">
        <v>504</v>
      </c>
    </row>
    <row r="7" spans="2:8" ht="18">
      <c r="B7" s="177" t="s">
        <v>434</v>
      </c>
      <c r="C7" s="49"/>
      <c r="D7" s="48"/>
      <c r="E7" s="48"/>
      <c r="F7" s="48"/>
      <c r="G7" s="48"/>
      <c r="H7" s="48"/>
    </row>
    <row r="8" spans="2:8" ht="21" thickBot="1">
      <c r="B8" s="178" t="s">
        <v>107</v>
      </c>
      <c r="C8" s="176">
        <f>C10+C13+C15+C19+C20+C25</f>
        <v>123026</v>
      </c>
      <c r="D8" s="175">
        <f>C8*81/100</f>
        <v>99651.06</v>
      </c>
      <c r="E8" s="175">
        <v>99651</v>
      </c>
      <c r="F8" s="175">
        <f>F10+F13+F15+F19+F20+F25</f>
        <v>116671.43</v>
      </c>
      <c r="G8" s="175">
        <f>G10+G13+G15+G19+G20+G25</f>
        <v>116671</v>
      </c>
      <c r="H8" s="175">
        <f>H10+H13+H15+H19+H20+H25</f>
        <v>113533</v>
      </c>
    </row>
    <row r="9" spans="2:11" ht="17.25" thickBot="1" thickTop="1">
      <c r="B9" s="50" t="s">
        <v>108</v>
      </c>
      <c r="C9" s="51"/>
      <c r="D9" s="52"/>
      <c r="E9" s="52"/>
      <c r="F9" s="52"/>
      <c r="G9" s="52"/>
      <c r="H9" s="52"/>
      <c r="K9" s="11"/>
    </row>
    <row r="10" spans="2:8" s="26" customFormat="1" ht="15.75">
      <c r="B10" s="166" t="s">
        <v>109</v>
      </c>
      <c r="C10" s="167">
        <f>SUM(C11:C12)</f>
        <v>31290</v>
      </c>
      <c r="D10" s="168">
        <f aca="true" t="shared" si="0" ref="D10:D27">C10*81/100</f>
        <v>25344.9</v>
      </c>
      <c r="E10" s="53">
        <v>25345</v>
      </c>
      <c r="F10" s="168">
        <f>D10+3172</f>
        <v>28516.9</v>
      </c>
      <c r="G10" s="168">
        <f>E10+3172</f>
        <v>28517</v>
      </c>
      <c r="H10" s="168">
        <f>H11+H12</f>
        <v>32078</v>
      </c>
    </row>
    <row r="11" spans="2:11" ht="15">
      <c r="B11" s="54" t="s">
        <v>110</v>
      </c>
      <c r="C11" s="163">
        <v>13290</v>
      </c>
      <c r="D11" s="162">
        <f t="shared" si="0"/>
        <v>10764.9</v>
      </c>
      <c r="E11" s="118">
        <v>10765</v>
      </c>
      <c r="F11" s="162">
        <f>D11+972</f>
        <v>11736.9</v>
      </c>
      <c r="G11" s="162">
        <f>E11+972</f>
        <v>11737</v>
      </c>
      <c r="H11" s="162">
        <f>519+10761+53</f>
        <v>11333</v>
      </c>
      <c r="K11" s="11"/>
    </row>
    <row r="12" spans="2:8" ht="15.75" thickBot="1">
      <c r="B12" s="55" t="s">
        <v>111</v>
      </c>
      <c r="C12" s="164">
        <v>18000</v>
      </c>
      <c r="D12" s="165">
        <f t="shared" si="0"/>
        <v>14580</v>
      </c>
      <c r="E12" s="121">
        <v>14580</v>
      </c>
      <c r="F12" s="165">
        <f>D12+2200</f>
        <v>16780</v>
      </c>
      <c r="G12" s="165">
        <f>E12+2200</f>
        <v>16780</v>
      </c>
      <c r="H12" s="347">
        <f>276+20469</f>
        <v>20745</v>
      </c>
    </row>
    <row r="13" spans="2:8" s="26" customFormat="1" ht="15.75">
      <c r="B13" s="169" t="s">
        <v>112</v>
      </c>
      <c r="C13" s="170">
        <v>5960</v>
      </c>
      <c r="D13" s="168">
        <f t="shared" si="0"/>
        <v>4827.6</v>
      </c>
      <c r="E13" s="53">
        <v>4828</v>
      </c>
      <c r="F13" s="168">
        <v>5523</v>
      </c>
      <c r="G13" s="168">
        <v>5523</v>
      </c>
      <c r="H13" s="168">
        <v>5533</v>
      </c>
    </row>
    <row r="14" spans="2:8" ht="15.75" thickBot="1">
      <c r="B14" s="55" t="s">
        <v>113</v>
      </c>
      <c r="C14" s="164">
        <v>5960</v>
      </c>
      <c r="D14" s="165">
        <f t="shared" si="0"/>
        <v>4827.6</v>
      </c>
      <c r="E14" s="121">
        <v>4828</v>
      </c>
      <c r="F14" s="165">
        <f>D14+695</f>
        <v>5522.6</v>
      </c>
      <c r="G14" s="165">
        <f>E14+695</f>
        <v>5523</v>
      </c>
      <c r="H14" s="165">
        <v>5533</v>
      </c>
    </row>
    <row r="15" spans="2:8" s="26" customFormat="1" ht="15.75">
      <c r="B15" s="171" t="s">
        <v>114</v>
      </c>
      <c r="C15" s="170">
        <f>SUM(C16:C18)</f>
        <v>42011</v>
      </c>
      <c r="D15" s="168">
        <f t="shared" si="0"/>
        <v>34028.91</v>
      </c>
      <c r="E15" s="53">
        <v>34029</v>
      </c>
      <c r="F15" s="168">
        <f>SUM(F16:F18)</f>
        <v>40382.88</v>
      </c>
      <c r="G15" s="168">
        <f>SUM(G16:G18)</f>
        <v>40383</v>
      </c>
      <c r="H15" s="168">
        <f>H16+H17+H18</f>
        <v>35863</v>
      </c>
    </row>
    <row r="16" spans="2:9" ht="15">
      <c r="B16" s="56" t="s">
        <v>115</v>
      </c>
      <c r="C16" s="163">
        <v>19663</v>
      </c>
      <c r="D16" s="162">
        <f t="shared" si="0"/>
        <v>15927.03</v>
      </c>
      <c r="E16" s="118">
        <v>15927</v>
      </c>
      <c r="F16" s="162">
        <v>21816</v>
      </c>
      <c r="G16" s="162">
        <v>21816</v>
      </c>
      <c r="H16" s="162">
        <v>19635</v>
      </c>
      <c r="I16" s="344"/>
    </row>
    <row r="17" spans="2:8" ht="15">
      <c r="B17" s="56" t="s">
        <v>116</v>
      </c>
      <c r="C17" s="163">
        <v>14348</v>
      </c>
      <c r="D17" s="162">
        <f t="shared" si="0"/>
        <v>11621.88</v>
      </c>
      <c r="E17" s="118">
        <v>11622</v>
      </c>
      <c r="F17" s="162">
        <f>D17+339+1200</f>
        <v>13160.88</v>
      </c>
      <c r="G17" s="162">
        <f>E17+339+1200</f>
        <v>13161</v>
      </c>
      <c r="H17" s="162">
        <v>10822</v>
      </c>
    </row>
    <row r="18" spans="2:8" ht="15.75" thickBot="1">
      <c r="B18" s="55" t="s">
        <v>117</v>
      </c>
      <c r="C18" s="164">
        <v>8000</v>
      </c>
      <c r="D18" s="165">
        <f t="shared" si="0"/>
        <v>6480</v>
      </c>
      <c r="E18" s="121">
        <v>6480</v>
      </c>
      <c r="F18" s="165">
        <f>D18+126-1200</f>
        <v>5406</v>
      </c>
      <c r="G18" s="165">
        <f>E18+126-1200</f>
        <v>5406</v>
      </c>
      <c r="H18" s="165">
        <v>5406</v>
      </c>
    </row>
    <row r="19" spans="2:10" s="26" customFormat="1" ht="16.5" thickBot="1">
      <c r="B19" s="172" t="s">
        <v>118</v>
      </c>
      <c r="C19" s="173">
        <v>4000</v>
      </c>
      <c r="D19" s="174">
        <f t="shared" si="0"/>
        <v>3240</v>
      </c>
      <c r="E19" s="285">
        <v>3240</v>
      </c>
      <c r="F19" s="174">
        <f>D19+893</f>
        <v>4133</v>
      </c>
      <c r="G19" s="174">
        <f>E19+893</f>
        <v>4133</v>
      </c>
      <c r="H19" s="174">
        <f>4421+173</f>
        <v>4594</v>
      </c>
      <c r="I19" s="246"/>
      <c r="J19"/>
    </row>
    <row r="20" spans="2:10" s="26" customFormat="1" ht="15.75">
      <c r="B20" s="171" t="s">
        <v>119</v>
      </c>
      <c r="C20" s="170">
        <f>SUM(C21:C24)</f>
        <v>27319</v>
      </c>
      <c r="D20" s="168">
        <f t="shared" si="0"/>
        <v>22128.39</v>
      </c>
      <c r="E20" s="53">
        <v>22128</v>
      </c>
      <c r="F20" s="168">
        <f>D20+5284</f>
        <v>27412.39</v>
      </c>
      <c r="G20" s="168">
        <f>E20+5284</f>
        <v>27412</v>
      </c>
      <c r="H20" s="168">
        <f>H21+H22+H23+H24</f>
        <v>23194</v>
      </c>
      <c r="J20"/>
    </row>
    <row r="21" spans="2:8" ht="15">
      <c r="B21" s="56" t="s">
        <v>120</v>
      </c>
      <c r="C21" s="163">
        <v>10313</v>
      </c>
      <c r="D21" s="162">
        <f t="shared" si="0"/>
        <v>8353.53</v>
      </c>
      <c r="E21" s="118">
        <v>8354</v>
      </c>
      <c r="F21" s="162">
        <f>D21+2226</f>
        <v>10579.53</v>
      </c>
      <c r="G21" s="162">
        <f>E21+2226</f>
        <v>10580</v>
      </c>
      <c r="H21" s="162">
        <v>8793</v>
      </c>
    </row>
    <row r="22" spans="2:8" ht="15">
      <c r="B22" s="56" t="s">
        <v>121</v>
      </c>
      <c r="C22" s="163">
        <v>16006</v>
      </c>
      <c r="D22" s="162">
        <f t="shared" si="0"/>
        <v>12964.86</v>
      </c>
      <c r="E22" s="118">
        <v>12965</v>
      </c>
      <c r="F22" s="162">
        <f>D22+2836</f>
        <v>15800.86</v>
      </c>
      <c r="G22" s="162">
        <f>E22+2836</f>
        <v>15801</v>
      </c>
      <c r="H22" s="162">
        <v>13776</v>
      </c>
    </row>
    <row r="23" spans="2:9" ht="15">
      <c r="B23" s="57" t="s">
        <v>122</v>
      </c>
      <c r="C23" s="163">
        <v>600</v>
      </c>
      <c r="D23" s="162">
        <f t="shared" si="0"/>
        <v>486</v>
      </c>
      <c r="E23" s="118">
        <v>486</v>
      </c>
      <c r="F23" s="162">
        <v>486</v>
      </c>
      <c r="G23" s="162">
        <v>486</v>
      </c>
      <c r="H23" s="162">
        <v>181</v>
      </c>
      <c r="I23" s="344"/>
    </row>
    <row r="24" spans="2:8" ht="15.75" thickBot="1">
      <c r="B24" s="55" t="s">
        <v>123</v>
      </c>
      <c r="C24" s="164">
        <v>400</v>
      </c>
      <c r="D24" s="165">
        <f t="shared" si="0"/>
        <v>324</v>
      </c>
      <c r="E24" s="121">
        <v>324</v>
      </c>
      <c r="F24" s="165">
        <f>D24+222</f>
        <v>546</v>
      </c>
      <c r="G24" s="165">
        <f>E24+222</f>
        <v>546</v>
      </c>
      <c r="H24" s="347">
        <v>444</v>
      </c>
    </row>
    <row r="25" spans="2:8" s="26" customFormat="1" ht="15.75">
      <c r="B25" s="169" t="s">
        <v>124</v>
      </c>
      <c r="C25" s="170">
        <f>SUM(C26:C27)</f>
        <v>12446</v>
      </c>
      <c r="D25" s="168">
        <f t="shared" si="0"/>
        <v>10081.26</v>
      </c>
      <c r="E25" s="53">
        <v>10081</v>
      </c>
      <c r="F25" s="168">
        <f>D25+622</f>
        <v>10703.26</v>
      </c>
      <c r="G25" s="168">
        <f>E25+622</f>
        <v>10703</v>
      </c>
      <c r="H25" s="168">
        <f>H26+H27</f>
        <v>12271</v>
      </c>
    </row>
    <row r="26" spans="2:8" ht="15">
      <c r="B26" s="56" t="s">
        <v>125</v>
      </c>
      <c r="C26" s="163">
        <v>6897</v>
      </c>
      <c r="D26" s="162">
        <f t="shared" si="0"/>
        <v>5586.57</v>
      </c>
      <c r="E26" s="118">
        <v>5587</v>
      </c>
      <c r="F26" s="162">
        <f>D26+100</f>
        <v>5686.57</v>
      </c>
      <c r="G26" s="162">
        <f>E26+100</f>
        <v>5687</v>
      </c>
      <c r="H26" s="162">
        <v>3314</v>
      </c>
    </row>
    <row r="27" spans="2:8" ht="15.75" thickBot="1">
      <c r="B27" s="58" t="s">
        <v>126</v>
      </c>
      <c r="C27" s="164">
        <v>5549</v>
      </c>
      <c r="D27" s="165">
        <f t="shared" si="0"/>
        <v>4494.69</v>
      </c>
      <c r="E27" s="121">
        <v>4495</v>
      </c>
      <c r="F27" s="165">
        <f>D27+522</f>
        <v>5016.69</v>
      </c>
      <c r="G27" s="165">
        <f>E27+522</f>
        <v>5017</v>
      </c>
      <c r="H27" s="165">
        <f>8850+107</f>
        <v>8957</v>
      </c>
    </row>
    <row r="28" spans="2:4" ht="12.75">
      <c r="B28" s="59"/>
      <c r="C28" s="60"/>
      <c r="D28" s="60"/>
    </row>
    <row r="29" spans="2:5" ht="14.25">
      <c r="B29" s="61"/>
      <c r="C29" s="11"/>
      <c r="D29" s="11"/>
      <c r="E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  <rowBreaks count="1" manualBreakCount="1">
    <brk id="28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C86"/>
  <sheetViews>
    <sheetView workbookViewId="0" topLeftCell="B1">
      <pane ySplit="7" topLeftCell="BM8" activePane="bottomLeft" state="frozen"/>
      <selection pane="topLeft" activeCell="A1" sqref="A1"/>
      <selection pane="bottomLeft" activeCell="H82" sqref="H82"/>
    </sheetView>
  </sheetViews>
  <sheetFormatPr defaultColWidth="9.00390625" defaultRowHeight="12.75"/>
  <cols>
    <col min="1" max="1" width="9.125" style="15" customWidth="1"/>
    <col min="2" max="2" width="5.75390625" style="751" customWidth="1"/>
    <col min="3" max="3" width="8.75390625" style="15" customWidth="1"/>
    <col min="4" max="4" width="51.375" style="15" customWidth="1"/>
    <col min="5" max="6" width="18.25390625" style="116" customWidth="1"/>
    <col min="7" max="7" width="8.25390625" style="116" customWidth="1"/>
    <col min="8" max="8" width="19.00390625" style="116" customWidth="1"/>
    <col min="9" max="133" width="9.125" style="116" customWidth="1"/>
    <col min="134" max="16384" width="9.125" style="15" customWidth="1"/>
  </cols>
  <sheetData>
    <row r="1" ht="54" customHeight="1"/>
    <row r="2" spans="3:133" ht="23.25">
      <c r="C2" s="14"/>
      <c r="D2" s="157" t="s">
        <v>447</v>
      </c>
      <c r="E2" s="192"/>
      <c r="F2" s="745" t="s">
        <v>28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</row>
    <row r="3" spans="3:6" ht="23.25" customHeight="1" thickBot="1">
      <c r="C3" s="14"/>
      <c r="D3" s="16"/>
      <c r="E3" s="194"/>
      <c r="F3" s="194" t="s">
        <v>1</v>
      </c>
    </row>
    <row r="4" spans="2:133" s="68" customFormat="1" ht="15.75">
      <c r="B4" s="752"/>
      <c r="C4" s="287"/>
      <c r="D4" s="288"/>
      <c r="E4" s="237" t="s">
        <v>431</v>
      </c>
      <c r="F4" s="237" t="s">
        <v>503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</row>
    <row r="5" spans="2:133" s="68" customFormat="1" ht="15.75">
      <c r="B5" s="752"/>
      <c r="C5" s="289"/>
      <c r="D5" s="290" t="s">
        <v>3</v>
      </c>
      <c r="E5" s="240" t="s">
        <v>432</v>
      </c>
      <c r="F5" s="240" t="s">
        <v>81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</row>
    <row r="6" spans="2:133" s="68" customFormat="1" ht="16.5" thickBot="1">
      <c r="B6" s="752"/>
      <c r="C6" s="291"/>
      <c r="D6" s="292"/>
      <c r="E6" s="243">
        <v>2006</v>
      </c>
      <c r="F6" s="240" t="s">
        <v>504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</row>
    <row r="7" spans="3:6" ht="12.75" hidden="1">
      <c r="C7" s="17"/>
      <c r="D7" s="19"/>
      <c r="E7" s="20"/>
      <c r="F7" s="20"/>
    </row>
    <row r="8" spans="1:133" s="22" customFormat="1" ht="24.75" customHeight="1" thickBot="1">
      <c r="A8" s="334"/>
      <c r="B8" s="334"/>
      <c r="C8" s="184" t="s">
        <v>30</v>
      </c>
      <c r="D8" s="185"/>
      <c r="E8" s="21"/>
      <c r="F8" s="21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</row>
    <row r="9" spans="3:6" ht="15.75">
      <c r="C9" s="30" t="s">
        <v>31</v>
      </c>
      <c r="D9" s="293" t="s">
        <v>32</v>
      </c>
      <c r="E9" s="232">
        <v>524492</v>
      </c>
      <c r="F9" s="232">
        <v>479109</v>
      </c>
    </row>
    <row r="10" spans="3:6" ht="15.75">
      <c r="C10" s="31">
        <v>121</v>
      </c>
      <c r="D10" s="294" t="s">
        <v>33</v>
      </c>
      <c r="E10" s="233">
        <v>137234</v>
      </c>
      <c r="F10" s="233">
        <v>126521</v>
      </c>
    </row>
    <row r="11" spans="3:6" ht="15.75">
      <c r="C11" s="31"/>
      <c r="D11" s="294" t="s">
        <v>34</v>
      </c>
      <c r="E11" s="233"/>
      <c r="F11" s="233"/>
    </row>
    <row r="12" spans="3:6" ht="15.75">
      <c r="C12" s="31">
        <v>133001</v>
      </c>
      <c r="D12" s="294" t="s">
        <v>35</v>
      </c>
      <c r="E12" s="233">
        <v>1700</v>
      </c>
      <c r="F12" s="233">
        <v>1290</v>
      </c>
    </row>
    <row r="13" spans="3:6" ht="15.75">
      <c r="C13" s="31" t="s">
        <v>36</v>
      </c>
      <c r="D13" s="294" t="s">
        <v>37</v>
      </c>
      <c r="E13" s="233">
        <v>600</v>
      </c>
      <c r="F13" s="233">
        <v>460</v>
      </c>
    </row>
    <row r="14" spans="3:6" ht="15.75">
      <c r="C14" s="31" t="s">
        <v>38</v>
      </c>
      <c r="D14" s="294" t="s">
        <v>39</v>
      </c>
      <c r="E14" s="233">
        <v>200</v>
      </c>
      <c r="F14" s="233">
        <v>210</v>
      </c>
    </row>
    <row r="15" spans="3:6" ht="15.75">
      <c r="C15" s="31">
        <v>133005</v>
      </c>
      <c r="D15" s="294" t="s">
        <v>487</v>
      </c>
      <c r="E15" s="233">
        <v>700</v>
      </c>
      <c r="F15" s="233">
        <v>759</v>
      </c>
    </row>
    <row r="16" spans="3:6" ht="15.75">
      <c r="C16" s="195" t="s">
        <v>40</v>
      </c>
      <c r="D16" s="295" t="s">
        <v>41</v>
      </c>
      <c r="E16" s="233">
        <v>7000</v>
      </c>
      <c r="F16" s="233">
        <v>5676</v>
      </c>
    </row>
    <row r="17" spans="2:133" s="25" customFormat="1" ht="15.75">
      <c r="B17" s="753"/>
      <c r="C17" s="196" t="s">
        <v>42</v>
      </c>
      <c r="D17" s="296" t="s">
        <v>43</v>
      </c>
      <c r="E17" s="233">
        <v>0</v>
      </c>
      <c r="F17" s="233">
        <v>408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</row>
    <row r="18" spans="3:6" ht="15.75">
      <c r="C18" s="197">
        <v>133012</v>
      </c>
      <c r="D18" s="297" t="s">
        <v>44</v>
      </c>
      <c r="E18" s="233">
        <v>13800</v>
      </c>
      <c r="F18" s="233">
        <v>21173</v>
      </c>
    </row>
    <row r="19" spans="3:7" ht="15.75">
      <c r="C19" s="31" t="s">
        <v>45</v>
      </c>
      <c r="D19" s="294" t="s">
        <v>46</v>
      </c>
      <c r="E19" s="233">
        <v>6000</v>
      </c>
      <c r="F19" s="233">
        <v>2184</v>
      </c>
      <c r="G19" s="117"/>
    </row>
    <row r="20" spans="3:8" ht="15.75">
      <c r="C20" s="31" t="s">
        <v>47</v>
      </c>
      <c r="D20" s="294" t="s">
        <v>48</v>
      </c>
      <c r="E20" s="233">
        <v>12000</v>
      </c>
      <c r="F20" s="233">
        <v>9118</v>
      </c>
      <c r="H20" s="117"/>
    </row>
    <row r="21" spans="3:6" ht="15.75">
      <c r="C21" s="31" t="s">
        <v>49</v>
      </c>
      <c r="D21" s="294" t="s">
        <v>50</v>
      </c>
      <c r="E21" s="233">
        <v>1500</v>
      </c>
      <c r="F21" s="233">
        <v>3122</v>
      </c>
    </row>
    <row r="22" spans="3:8" ht="15.75">
      <c r="C22" s="31" t="s">
        <v>51</v>
      </c>
      <c r="D22" s="294" t="s">
        <v>52</v>
      </c>
      <c r="E22" s="233">
        <v>18000</v>
      </c>
      <c r="F22" s="233">
        <v>25020</v>
      </c>
      <c r="H22" s="117"/>
    </row>
    <row r="23" spans="3:6" ht="15.75">
      <c r="C23" s="31">
        <v>222</v>
      </c>
      <c r="D23" s="294" t="s">
        <v>53</v>
      </c>
      <c r="E23" s="233">
        <v>5750</v>
      </c>
      <c r="F23" s="233">
        <v>5652</v>
      </c>
    </row>
    <row r="24" spans="3:6" ht="15.75">
      <c r="C24" s="31">
        <v>223</v>
      </c>
      <c r="D24" s="298" t="s">
        <v>486</v>
      </c>
      <c r="E24" s="233">
        <v>17180</v>
      </c>
      <c r="F24" s="233">
        <v>19544</v>
      </c>
    </row>
    <row r="25" spans="3:8" ht="15.75">
      <c r="C25" s="31"/>
      <c r="D25" s="299" t="s">
        <v>54</v>
      </c>
      <c r="E25" s="233">
        <v>359137</v>
      </c>
      <c r="F25" s="233">
        <v>479352</v>
      </c>
      <c r="G25" s="117"/>
      <c r="H25" s="117"/>
    </row>
    <row r="26" spans="3:6" ht="15.75">
      <c r="C26" s="31" t="s">
        <v>55</v>
      </c>
      <c r="D26" s="294" t="s">
        <v>56</v>
      </c>
      <c r="E26" s="233">
        <v>8000</v>
      </c>
      <c r="F26" s="233">
        <v>6144</v>
      </c>
    </row>
    <row r="27" spans="2:133" s="25" customFormat="1" ht="15.75">
      <c r="B27" s="753"/>
      <c r="C27" s="196">
        <v>292008</v>
      </c>
      <c r="D27" s="296" t="s">
        <v>57</v>
      </c>
      <c r="E27" s="233">
        <v>4500</v>
      </c>
      <c r="F27" s="233">
        <v>4829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</row>
    <row r="28" spans="3:8" ht="15.75">
      <c r="C28" s="31" t="s">
        <v>58</v>
      </c>
      <c r="D28" s="294" t="s">
        <v>59</v>
      </c>
      <c r="E28" s="233">
        <v>120</v>
      </c>
      <c r="F28" s="233">
        <v>89</v>
      </c>
      <c r="H28" s="117"/>
    </row>
    <row r="29" spans="3:7" ht="15.75">
      <c r="C29" s="31"/>
      <c r="D29" s="294" t="s">
        <v>1095</v>
      </c>
      <c r="E29" s="233">
        <v>500</v>
      </c>
      <c r="F29" s="233">
        <f>12506-F26-F27+32563</f>
        <v>34096</v>
      </c>
      <c r="G29" s="117"/>
    </row>
    <row r="30" spans="3:7" ht="15.75">
      <c r="C30" s="31" t="s">
        <v>60</v>
      </c>
      <c r="D30" s="294" t="s">
        <v>61</v>
      </c>
      <c r="E30" s="233">
        <v>2200</v>
      </c>
      <c r="F30" s="233">
        <v>2252</v>
      </c>
      <c r="G30" s="117"/>
    </row>
    <row r="31" spans="3:6" ht="15.75">
      <c r="C31" s="31" t="s">
        <v>62</v>
      </c>
      <c r="D31" s="294" t="s">
        <v>488</v>
      </c>
      <c r="E31" s="233">
        <v>1890</v>
      </c>
      <c r="F31" s="233">
        <v>1941</v>
      </c>
    </row>
    <row r="32" spans="3:8" ht="15.75">
      <c r="C32" s="31" t="s">
        <v>62</v>
      </c>
      <c r="D32" s="294" t="s">
        <v>64</v>
      </c>
      <c r="E32" s="233">
        <v>195992</v>
      </c>
      <c r="F32" s="233">
        <f>1914+221171</f>
        <v>223085</v>
      </c>
      <c r="G32" s="117"/>
      <c r="H32" s="117"/>
    </row>
    <row r="33" spans="3:6" ht="15.75">
      <c r="C33" s="31" t="s">
        <v>62</v>
      </c>
      <c r="D33" s="294" t="s">
        <v>509</v>
      </c>
      <c r="E33" s="233">
        <v>5169</v>
      </c>
      <c r="F33" s="233">
        <f>841+2831</f>
        <v>3672</v>
      </c>
    </row>
    <row r="34" spans="3:6" ht="15.75">
      <c r="C34" s="31" t="s">
        <v>62</v>
      </c>
      <c r="D34" s="294" t="s">
        <v>65</v>
      </c>
      <c r="E34" s="233">
        <v>1100</v>
      </c>
      <c r="F34" s="233">
        <v>1369</v>
      </c>
    </row>
    <row r="35" spans="3:6" ht="15.75">
      <c r="C35" s="31" t="s">
        <v>66</v>
      </c>
      <c r="D35" s="299" t="s">
        <v>67</v>
      </c>
      <c r="E35" s="233">
        <v>4712</v>
      </c>
      <c r="F35" s="233">
        <f>1781+891+3333</f>
        <v>6005</v>
      </c>
    </row>
    <row r="36" spans="3:6" ht="15.75">
      <c r="C36" s="31"/>
      <c r="D36" s="300" t="s">
        <v>455</v>
      </c>
      <c r="E36" s="233">
        <v>1478</v>
      </c>
      <c r="F36" s="233">
        <f>218+3246+316+426+113+672</f>
        <v>4991</v>
      </c>
    </row>
    <row r="37" spans="3:8" ht="15.75">
      <c r="C37" s="31" t="s">
        <v>62</v>
      </c>
      <c r="D37" s="299" t="s">
        <v>20</v>
      </c>
      <c r="E37" s="233">
        <f>157039+9288+60000+30000</f>
        <v>256327</v>
      </c>
      <c r="F37" s="233">
        <v>315102</v>
      </c>
      <c r="G37" s="117"/>
      <c r="H37" s="117"/>
    </row>
    <row r="38" spans="3:7" ht="16.5" thickBot="1">
      <c r="C38" s="198"/>
      <c r="D38" s="919" t="s">
        <v>1097</v>
      </c>
      <c r="E38" s="920"/>
      <c r="F38" s="329">
        <v>135680</v>
      </c>
      <c r="G38" s="117"/>
    </row>
    <row r="39" spans="2:133" s="32" customFormat="1" ht="18.75" thickBot="1">
      <c r="B39" s="754"/>
      <c r="C39" s="202"/>
      <c r="D39" s="203" t="s">
        <v>68</v>
      </c>
      <c r="E39" s="204">
        <f>SUM(E9:E37)</f>
        <v>1587281</v>
      </c>
      <c r="F39" s="204">
        <f>SUM(F9:F38)</f>
        <v>1918853</v>
      </c>
      <c r="G39" s="332"/>
      <c r="H39" s="332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</row>
    <row r="40" spans="2:133" s="29" customFormat="1" ht="21" customHeight="1" thickBot="1">
      <c r="B40" s="755"/>
      <c r="C40" s="186" t="s">
        <v>69</v>
      </c>
      <c r="D40" s="187"/>
      <c r="E40" s="328"/>
      <c r="F40" s="28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</row>
    <row r="41" spans="3:6" ht="15.75">
      <c r="C41" s="30" t="s">
        <v>70</v>
      </c>
      <c r="D41" s="293" t="s">
        <v>71</v>
      </c>
      <c r="E41" s="232">
        <v>164244</v>
      </c>
      <c r="F41" s="124">
        <f>60153+6000+132271</f>
        <v>198424</v>
      </c>
    </row>
    <row r="42" spans="3:8" ht="15.75">
      <c r="C42" s="31" t="s">
        <v>72</v>
      </c>
      <c r="D42" s="294" t="s">
        <v>73</v>
      </c>
      <c r="E42" s="233">
        <v>9570</v>
      </c>
      <c r="F42" s="125">
        <v>7977</v>
      </c>
      <c r="G42" s="117"/>
      <c r="H42" s="117"/>
    </row>
    <row r="43" spans="3:7" ht="15.75">
      <c r="C43" s="31" t="s">
        <v>482</v>
      </c>
      <c r="D43" s="294" t="s">
        <v>63</v>
      </c>
      <c r="E43" s="233">
        <v>50107</v>
      </c>
      <c r="F43" s="233">
        <f>29756+6000</f>
        <v>35756</v>
      </c>
      <c r="G43" s="117"/>
    </row>
    <row r="44" spans="3:7" ht="15.75">
      <c r="C44" s="195"/>
      <c r="D44" s="295" t="s">
        <v>510</v>
      </c>
      <c r="E44" s="330"/>
      <c r="F44" s="331">
        <f>48+145</f>
        <v>193</v>
      </c>
      <c r="G44" s="117"/>
    </row>
    <row r="45" spans="3:7" ht="15.75">
      <c r="C45" s="195"/>
      <c r="D45" s="295" t="s">
        <v>67</v>
      </c>
      <c r="E45" s="330"/>
      <c r="F45" s="331">
        <f>801+4274</f>
        <v>5075</v>
      </c>
      <c r="G45" s="117"/>
    </row>
    <row r="46" spans="3:8" ht="15.75">
      <c r="C46" s="31"/>
      <c r="D46" s="299" t="s">
        <v>20</v>
      </c>
      <c r="E46" s="233">
        <v>478762</v>
      </c>
      <c r="F46" s="125">
        <f>158643+373729</f>
        <v>532372</v>
      </c>
      <c r="G46" s="117"/>
      <c r="H46" s="117"/>
    </row>
    <row r="47" spans="3:8" ht="16.5" thickBot="1">
      <c r="C47" s="198"/>
      <c r="D47" s="919" t="s">
        <v>1097</v>
      </c>
      <c r="E47" s="329"/>
      <c r="F47" s="126">
        <v>207346</v>
      </c>
      <c r="G47" s="117"/>
      <c r="H47" s="117"/>
    </row>
    <row r="48" spans="2:133" s="32" customFormat="1" ht="18.75" thickBot="1">
      <c r="B48" s="754"/>
      <c r="C48" s="206"/>
      <c r="D48" s="207" t="s">
        <v>68</v>
      </c>
      <c r="E48" s="208">
        <f>SUM(E41:E46)</f>
        <v>702683</v>
      </c>
      <c r="F48" s="208">
        <f>SUM(F41:F47)</f>
        <v>987143</v>
      </c>
      <c r="G48" s="332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</row>
    <row r="49" spans="2:133" s="29" customFormat="1" ht="19.5" thickBot="1">
      <c r="B49" s="755"/>
      <c r="C49" s="186" t="s">
        <v>74</v>
      </c>
      <c r="D49" s="188"/>
      <c r="E49" s="28"/>
      <c r="F49" s="28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</row>
    <row r="50" spans="3:8" ht="15.75">
      <c r="C50" s="199" t="s">
        <v>75</v>
      </c>
      <c r="D50" s="301" t="s">
        <v>483</v>
      </c>
      <c r="E50" s="232">
        <v>89844</v>
      </c>
      <c r="F50" s="124">
        <v>89844</v>
      </c>
      <c r="H50" s="117"/>
    </row>
    <row r="51" spans="2:133" s="27" customFormat="1" ht="15.75">
      <c r="B51" s="756"/>
      <c r="C51" s="200"/>
      <c r="D51" s="302" t="s">
        <v>484</v>
      </c>
      <c r="E51" s="233">
        <v>138965</v>
      </c>
      <c r="F51" s="125">
        <f>228810-F50</f>
        <v>138966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</row>
    <row r="52" spans="2:133" s="27" customFormat="1" ht="15.75">
      <c r="B52" s="756"/>
      <c r="C52" s="200" t="s">
        <v>436</v>
      </c>
      <c r="D52" s="302" t="s">
        <v>76</v>
      </c>
      <c r="E52" s="233">
        <v>51515</v>
      </c>
      <c r="F52" s="125">
        <v>10009</v>
      </c>
      <c r="G52" s="116"/>
      <c r="H52" s="333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</row>
    <row r="53" spans="2:133" s="27" customFormat="1" ht="16.5" thickBot="1">
      <c r="B53" s="756"/>
      <c r="C53" s="201"/>
      <c r="D53" s="303" t="s">
        <v>20</v>
      </c>
      <c r="E53" s="329">
        <v>0</v>
      </c>
      <c r="F53" s="126"/>
      <c r="G53" s="116"/>
      <c r="H53" s="333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</row>
    <row r="54" spans="2:133" s="32" customFormat="1" ht="18.75" thickBot="1">
      <c r="B54" s="754"/>
      <c r="C54" s="209"/>
      <c r="D54" s="203" t="s">
        <v>68</v>
      </c>
      <c r="E54" s="210">
        <f>SUM(E50:E53)</f>
        <v>280324</v>
      </c>
      <c r="F54" s="210">
        <f>SUM(F50:F53)</f>
        <v>238819</v>
      </c>
      <c r="G54" s="205"/>
      <c r="H54" s="333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</row>
    <row r="55" spans="2:133" s="32" customFormat="1" ht="21" thickBot="1">
      <c r="B55" s="754"/>
      <c r="C55" s="189" t="s">
        <v>435</v>
      </c>
      <c r="D55" s="190"/>
      <c r="E55" s="191">
        <v>2570288</v>
      </c>
      <c r="F55" s="191">
        <f>F54+F48+F39</f>
        <v>3144815</v>
      </c>
      <c r="G55" s="314"/>
      <c r="H55" s="314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</row>
    <row r="56" spans="3:8" ht="18">
      <c r="C56" s="23"/>
      <c r="D56" s="293" t="s">
        <v>22</v>
      </c>
      <c r="E56" s="127">
        <f>E48</f>
        <v>702683</v>
      </c>
      <c r="F56" s="127">
        <f>F48</f>
        <v>987143</v>
      </c>
      <c r="H56" s="332"/>
    </row>
    <row r="57" spans="3:8" ht="18">
      <c r="C57" s="24"/>
      <c r="D57" s="294" t="s">
        <v>23</v>
      </c>
      <c r="E57" s="128">
        <f>E39</f>
        <v>1587281</v>
      </c>
      <c r="F57" s="128">
        <f>F39</f>
        <v>1918853</v>
      </c>
      <c r="H57" s="332"/>
    </row>
    <row r="58" spans="3:8" ht="18.75" thickBot="1">
      <c r="C58" s="18"/>
      <c r="D58" s="304" t="s">
        <v>24</v>
      </c>
      <c r="E58" s="129">
        <f>E54</f>
        <v>280324</v>
      </c>
      <c r="F58" s="129">
        <f>F54</f>
        <v>238819</v>
      </c>
      <c r="H58" s="332"/>
    </row>
    <row r="59" spans="3:6" ht="14.25">
      <c r="C59" s="33"/>
      <c r="D59" s="34"/>
      <c r="E59" s="117"/>
      <c r="F59" s="117"/>
    </row>
    <row r="60" spans="3:6" ht="14.25">
      <c r="C60" s="33"/>
      <c r="D60" s="34"/>
      <c r="E60" s="117"/>
      <c r="F60" s="117"/>
    </row>
    <row r="63" ht="12.75">
      <c r="F63" s="117"/>
    </row>
    <row r="80" spans="3:5" ht="12.75">
      <c r="C80"/>
      <c r="D80"/>
      <c r="E80"/>
    </row>
    <row r="81" spans="3:5" ht="12.75">
      <c r="C81"/>
      <c r="D81"/>
      <c r="E81"/>
    </row>
    <row r="82" spans="3:5" ht="12.75">
      <c r="C82"/>
      <c r="D82"/>
      <c r="E82"/>
    </row>
    <row r="83" spans="3:5" ht="12.75">
      <c r="C83"/>
      <c r="D83"/>
      <c r="E83"/>
    </row>
    <row r="84" spans="3:5" ht="12.75">
      <c r="C84"/>
      <c r="D84"/>
      <c r="E84"/>
    </row>
    <row r="85" spans="3:5" ht="12.75">
      <c r="C85"/>
      <c r="D85"/>
      <c r="E85"/>
    </row>
    <row r="86" spans="3:5" ht="12.75">
      <c r="C86"/>
      <c r="D86"/>
      <c r="E86"/>
    </row>
  </sheetData>
  <printOptions/>
  <pageMargins left="0" right="0" top="0.1968503937007874" bottom="0" header="0.5118110236220472" footer="0.5118110236220472"/>
  <pageSetup horizontalDpi="600" verticalDpi="600" orientation="portrait" paperSize="9" scale="85" r:id="rId1"/>
  <rowBreaks count="1" manualBreakCount="1">
    <brk id="5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C173"/>
  <sheetViews>
    <sheetView zoomScale="75" zoomScaleNormal="75" workbookViewId="0" topLeftCell="A61">
      <selection activeCell="P83" sqref="P83"/>
    </sheetView>
  </sheetViews>
  <sheetFormatPr defaultColWidth="9.00390625" defaultRowHeight="12.75"/>
  <cols>
    <col min="1" max="1" width="16.875" style="68" customWidth="1"/>
    <col min="2" max="2" width="4.75390625" style="15" customWidth="1"/>
    <col min="3" max="3" width="8.875" style="68" customWidth="1"/>
    <col min="4" max="4" width="11.125" style="68" customWidth="1"/>
    <col min="5" max="5" width="8.625" style="68" customWidth="1"/>
    <col min="6" max="6" width="9.875" style="68" customWidth="1"/>
    <col min="7" max="7" width="9.25390625" style="68" customWidth="1"/>
    <col min="8" max="8" width="7.75390625" style="68" customWidth="1"/>
    <col min="9" max="9" width="10.25390625" style="68" customWidth="1"/>
    <col min="10" max="10" width="9.875" style="68" customWidth="1"/>
    <col min="11" max="11" width="11.125" style="68" customWidth="1"/>
    <col min="12" max="12" width="10.25390625" style="68" customWidth="1"/>
    <col min="13" max="13" width="11.125" style="68" customWidth="1"/>
    <col min="14" max="14" width="13.00390625" style="65" customWidth="1"/>
    <col min="15" max="15" width="12.125" style="68" customWidth="1"/>
    <col min="16" max="20" width="11.75390625" style="116" customWidth="1"/>
    <col min="21" max="22" width="11.75390625" style="117" customWidth="1"/>
    <col min="23" max="23" width="29.25390625" style="116" customWidth="1"/>
    <col min="24" max="55" width="11.75390625" style="116" customWidth="1"/>
    <col min="56" max="16384" width="11.75390625" style="68" customWidth="1"/>
  </cols>
  <sheetData>
    <row r="1" ht="15"/>
    <row r="2" ht="15"/>
    <row r="3" ht="15"/>
    <row r="4" spans="1:15" ht="15">
      <c r="A4" s="69"/>
      <c r="B4" s="222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">
      <c r="A5" s="66"/>
      <c r="B5" s="223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6"/>
    </row>
    <row r="6" spans="1:15" ht="23.25">
      <c r="A6" s="158" t="s">
        <v>493</v>
      </c>
      <c r="B6" s="224"/>
      <c r="C6" s="159"/>
      <c r="D6" s="159"/>
      <c r="E6" s="159"/>
      <c r="F6" s="159"/>
      <c r="G6" s="71"/>
      <c r="H6" s="71"/>
      <c r="I6" s="71"/>
      <c r="J6" s="71"/>
      <c r="K6" s="71"/>
      <c r="L6" s="71"/>
      <c r="M6" s="71"/>
      <c r="N6" s="71"/>
      <c r="O6" s="72" t="s">
        <v>316</v>
      </c>
    </row>
    <row r="7" spans="1:15" ht="15.75" thickBot="1">
      <c r="A7" s="73"/>
      <c r="B7" s="224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 t="s">
        <v>128</v>
      </c>
    </row>
    <row r="8" spans="1:15" ht="15.75">
      <c r="A8" s="74"/>
      <c r="B8" s="225"/>
      <c r="C8" s="75" t="s">
        <v>317</v>
      </c>
      <c r="D8" s="75" t="s">
        <v>318</v>
      </c>
      <c r="E8" s="75" t="s">
        <v>319</v>
      </c>
      <c r="F8" s="75" t="s">
        <v>320</v>
      </c>
      <c r="G8" s="75" t="s">
        <v>321</v>
      </c>
      <c r="H8" s="75" t="s">
        <v>322</v>
      </c>
      <c r="I8" s="75" t="s">
        <v>323</v>
      </c>
      <c r="J8" s="75" t="s">
        <v>324</v>
      </c>
      <c r="K8" s="75" t="s">
        <v>325</v>
      </c>
      <c r="L8" s="75" t="s">
        <v>326</v>
      </c>
      <c r="M8" s="75" t="s">
        <v>327</v>
      </c>
      <c r="N8" s="75" t="s">
        <v>449</v>
      </c>
      <c r="O8" s="75" t="s">
        <v>27</v>
      </c>
    </row>
    <row r="9" spans="1:22" ht="15.75">
      <c r="A9" s="76" t="s">
        <v>3</v>
      </c>
      <c r="B9" s="226"/>
      <c r="C9" s="77"/>
      <c r="D9" s="77" t="s">
        <v>328</v>
      </c>
      <c r="E9" s="77" t="s">
        <v>329</v>
      </c>
      <c r="F9" s="77" t="s">
        <v>330</v>
      </c>
      <c r="G9" s="77" t="s">
        <v>331</v>
      </c>
      <c r="H9" s="77" t="s">
        <v>332</v>
      </c>
      <c r="I9" s="77" t="s">
        <v>333</v>
      </c>
      <c r="J9" s="77" t="s">
        <v>334</v>
      </c>
      <c r="K9" s="77" t="s">
        <v>335</v>
      </c>
      <c r="L9" s="77" t="s">
        <v>336</v>
      </c>
      <c r="M9" s="77" t="s">
        <v>337</v>
      </c>
      <c r="N9" s="77" t="s">
        <v>450</v>
      </c>
      <c r="O9" s="77" t="s">
        <v>107</v>
      </c>
      <c r="U9" s="116"/>
      <c r="V9" s="116"/>
    </row>
    <row r="10" spans="1:22" ht="15.75">
      <c r="A10" s="76"/>
      <c r="B10" s="226"/>
      <c r="C10" s="77"/>
      <c r="D10" s="77" t="s">
        <v>338</v>
      </c>
      <c r="E10" s="77" t="s">
        <v>339</v>
      </c>
      <c r="F10" s="77" t="s">
        <v>340</v>
      </c>
      <c r="G10" s="77" t="s">
        <v>341</v>
      </c>
      <c r="H10" s="77"/>
      <c r="I10" s="77" t="s">
        <v>342</v>
      </c>
      <c r="J10" s="77" t="s">
        <v>343</v>
      </c>
      <c r="K10" s="77"/>
      <c r="L10" s="77"/>
      <c r="M10" s="77"/>
      <c r="N10" s="77"/>
      <c r="O10" s="77"/>
      <c r="U10" s="116"/>
      <c r="V10" s="116"/>
    </row>
    <row r="11" spans="1:55" s="80" customFormat="1" ht="16.5" thickBot="1">
      <c r="A11" s="78"/>
      <c r="B11" s="227"/>
      <c r="C11" s="79"/>
      <c r="D11" s="79"/>
      <c r="E11" s="79"/>
      <c r="F11" s="79"/>
      <c r="G11" s="79"/>
      <c r="H11" s="79"/>
      <c r="I11" s="79" t="s">
        <v>344</v>
      </c>
      <c r="J11" s="79" t="s">
        <v>345</v>
      </c>
      <c r="K11" s="79"/>
      <c r="L11" s="79"/>
      <c r="M11" s="79"/>
      <c r="N11" s="79"/>
      <c r="O11" s="79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</row>
    <row r="12" spans="1:55" ht="18" customHeight="1" thickTop="1">
      <c r="A12" s="81" t="s">
        <v>424</v>
      </c>
      <c r="B12" s="228" t="s">
        <v>430</v>
      </c>
      <c r="C12" s="82">
        <v>37609</v>
      </c>
      <c r="D12" s="82">
        <v>12568</v>
      </c>
      <c r="E12" s="82">
        <v>1041</v>
      </c>
      <c r="F12" s="82">
        <v>8085</v>
      </c>
      <c r="G12" s="82">
        <v>7195</v>
      </c>
      <c r="H12" s="82">
        <v>2682</v>
      </c>
      <c r="I12" s="82">
        <v>1541</v>
      </c>
      <c r="J12" s="82">
        <v>47039</v>
      </c>
      <c r="K12" s="82">
        <v>145271</v>
      </c>
      <c r="L12" s="82">
        <v>27920</v>
      </c>
      <c r="M12" s="82">
        <v>537378</v>
      </c>
      <c r="N12" s="82">
        <v>160192</v>
      </c>
      <c r="O12" s="82">
        <v>988521</v>
      </c>
      <c r="P12" s="62"/>
      <c r="Q12" s="62"/>
      <c r="R12" s="62"/>
      <c r="S12" s="62"/>
      <c r="U12" s="116"/>
      <c r="V12" s="116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8" customHeight="1">
      <c r="A13" s="81" t="s">
        <v>425</v>
      </c>
      <c r="B13" s="228" t="s">
        <v>505</v>
      </c>
      <c r="C13" s="82">
        <v>38046</v>
      </c>
      <c r="D13" s="82">
        <v>12240</v>
      </c>
      <c r="E13" s="82">
        <v>1544</v>
      </c>
      <c r="F13" s="82">
        <v>8470</v>
      </c>
      <c r="G13" s="82">
        <v>6287</v>
      </c>
      <c r="H13" s="82">
        <v>2858</v>
      </c>
      <c r="I13" s="82">
        <v>1811</v>
      </c>
      <c r="J13" s="82">
        <v>74556</v>
      </c>
      <c r="K13" s="82">
        <v>34774</v>
      </c>
      <c r="L13" s="82">
        <v>53543</v>
      </c>
      <c r="M13" s="82">
        <f>713759+5+101667+29879-40000</f>
        <v>805310</v>
      </c>
      <c r="N13" s="82">
        <f>324+7850+177238</f>
        <v>185412</v>
      </c>
      <c r="O13" s="82">
        <f>SUM(C13:N13)</f>
        <v>1224851</v>
      </c>
      <c r="P13" s="62"/>
      <c r="Q13" s="62"/>
      <c r="R13" s="62"/>
      <c r="S13" s="62"/>
      <c r="U13" s="116"/>
      <c r="V13" s="116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8" customHeight="1" thickBot="1">
      <c r="A14" s="84" t="s">
        <v>437</v>
      </c>
      <c r="B14" s="229" t="s">
        <v>506</v>
      </c>
      <c r="C14" s="89">
        <f>C13*100/C12</f>
        <v>101.16195591480762</v>
      </c>
      <c r="D14" s="89">
        <f aca="true" t="shared" si="0" ref="D14:O14">D13*100/D12</f>
        <v>97.3901973265436</v>
      </c>
      <c r="E14" s="89">
        <f t="shared" si="0"/>
        <v>148.31892411143133</v>
      </c>
      <c r="F14" s="89">
        <f t="shared" si="0"/>
        <v>104.76190476190476</v>
      </c>
      <c r="G14" s="89">
        <f t="shared" si="0"/>
        <v>87.38012508686587</v>
      </c>
      <c r="H14" s="89">
        <f t="shared" si="0"/>
        <v>106.56226696495153</v>
      </c>
      <c r="I14" s="89">
        <f t="shared" si="0"/>
        <v>117.52109020116808</v>
      </c>
      <c r="J14" s="89">
        <f t="shared" si="0"/>
        <v>158.4982673951402</v>
      </c>
      <c r="K14" s="89">
        <f t="shared" si="0"/>
        <v>23.937330919453984</v>
      </c>
      <c r="L14" s="89">
        <f t="shared" si="0"/>
        <v>191.77292263610315</v>
      </c>
      <c r="M14" s="89">
        <f t="shared" si="0"/>
        <v>149.85913081666908</v>
      </c>
      <c r="N14" s="89">
        <f t="shared" si="0"/>
        <v>115.74360767079504</v>
      </c>
      <c r="O14" s="89">
        <f t="shared" si="0"/>
        <v>123.90743342832373</v>
      </c>
      <c r="P14" s="62"/>
      <c r="Q14" s="62"/>
      <c r="R14" s="62"/>
      <c r="S14" s="62"/>
      <c r="U14" s="116"/>
      <c r="V14" s="116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8" customHeight="1">
      <c r="A15" s="81" t="s">
        <v>426</v>
      </c>
      <c r="B15" s="228" t="s">
        <v>430</v>
      </c>
      <c r="C15" s="82"/>
      <c r="D15" s="82"/>
      <c r="E15" s="82"/>
      <c r="F15" s="82"/>
      <c r="G15" s="82"/>
      <c r="H15" s="82"/>
      <c r="I15" s="82"/>
      <c r="J15" s="82">
        <v>287</v>
      </c>
      <c r="K15" s="82">
        <v>14050</v>
      </c>
      <c r="L15" s="82"/>
      <c r="M15" s="82"/>
      <c r="N15" s="82"/>
      <c r="O15" s="82">
        <v>14337</v>
      </c>
      <c r="P15" s="62"/>
      <c r="Q15" s="62"/>
      <c r="R15" s="62"/>
      <c r="S15" s="62"/>
      <c r="U15" s="116"/>
      <c r="V15" s="116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8" customHeight="1">
      <c r="A16" s="108" t="s">
        <v>427</v>
      </c>
      <c r="B16" s="228" t="s">
        <v>505</v>
      </c>
      <c r="C16" s="82"/>
      <c r="D16" s="82"/>
      <c r="E16" s="82"/>
      <c r="F16" s="82"/>
      <c r="G16" s="82"/>
      <c r="H16" s="82"/>
      <c r="I16" s="82"/>
      <c r="J16" s="82">
        <f>1097+131</f>
        <v>1228</v>
      </c>
      <c r="K16" s="82">
        <v>9260</v>
      </c>
      <c r="L16" s="82"/>
      <c r="M16" s="82"/>
      <c r="N16" s="82"/>
      <c r="O16" s="82">
        <f>SUM(J16:K16)</f>
        <v>10488</v>
      </c>
      <c r="P16" s="62"/>
      <c r="Q16" s="62"/>
      <c r="R16" s="62"/>
      <c r="S16" s="62"/>
      <c r="U16" s="116"/>
      <c r="V16" s="116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8" customHeight="1" thickBot="1">
      <c r="A17" s="109" t="s">
        <v>428</v>
      </c>
      <c r="B17" s="229" t="s">
        <v>506</v>
      </c>
      <c r="C17" s="85"/>
      <c r="D17" s="85"/>
      <c r="E17" s="85"/>
      <c r="F17" s="85"/>
      <c r="G17" s="85"/>
      <c r="H17" s="85"/>
      <c r="I17" s="85"/>
      <c r="J17" s="85">
        <f>J16*100/J15</f>
        <v>427.8745644599303</v>
      </c>
      <c r="K17" s="85">
        <f>K16*100/K15</f>
        <v>65.90747330960853</v>
      </c>
      <c r="L17" s="85"/>
      <c r="M17" s="85"/>
      <c r="N17" s="85"/>
      <c r="O17" s="85">
        <f>O16*100/O15</f>
        <v>73.15337936806863</v>
      </c>
      <c r="P17" s="62"/>
      <c r="Q17" s="62"/>
      <c r="R17" s="62"/>
      <c r="S17" s="62"/>
      <c r="U17" s="116"/>
      <c r="V17" s="116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8" customHeight="1">
      <c r="A18" s="81" t="s">
        <v>422</v>
      </c>
      <c r="B18" s="228" t="s">
        <v>430</v>
      </c>
      <c r="C18" s="82">
        <v>1252</v>
      </c>
      <c r="D18" s="82">
        <v>438</v>
      </c>
      <c r="E18" s="82"/>
      <c r="F18" s="82"/>
      <c r="G18" s="82">
        <v>132</v>
      </c>
      <c r="H18" s="82"/>
      <c r="I18" s="82">
        <v>3</v>
      </c>
      <c r="J18" s="82">
        <v>65</v>
      </c>
      <c r="K18" s="82"/>
      <c r="L18" s="82"/>
      <c r="M18" s="82"/>
      <c r="N18" s="82"/>
      <c r="O18" s="87">
        <v>1890</v>
      </c>
      <c r="P18" s="62"/>
      <c r="Q18" s="62"/>
      <c r="R18" s="62"/>
      <c r="S18" s="62"/>
      <c r="T18" s="220"/>
      <c r="U18" s="220">
        <v>1399</v>
      </c>
      <c r="V18" s="220" t="s">
        <v>348</v>
      </c>
      <c r="W18" s="63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8" customHeight="1">
      <c r="A19" s="81"/>
      <c r="B19" s="228" t="s">
        <v>505</v>
      </c>
      <c r="C19" s="82">
        <v>1256</v>
      </c>
      <c r="D19" s="82">
        <v>433</v>
      </c>
      <c r="E19" s="82">
        <v>18</v>
      </c>
      <c r="F19" s="82">
        <v>20</v>
      </c>
      <c r="G19" s="82">
        <v>111</v>
      </c>
      <c r="H19" s="82"/>
      <c r="I19" s="82">
        <v>3</v>
      </c>
      <c r="J19" s="82">
        <v>40</v>
      </c>
      <c r="K19" s="82">
        <v>9</v>
      </c>
      <c r="L19" s="82"/>
      <c r="M19" s="82"/>
      <c r="N19" s="82"/>
      <c r="O19" s="82">
        <f>SUM(C19:N19)</f>
        <v>1890</v>
      </c>
      <c r="P19" s="62"/>
      <c r="Q19" s="62"/>
      <c r="R19" s="62"/>
      <c r="S19" s="62"/>
      <c r="T19" s="220"/>
      <c r="U19" s="220">
        <v>300</v>
      </c>
      <c r="V19" s="220" t="s">
        <v>353</v>
      </c>
      <c r="W19" s="63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8" customHeight="1" thickBot="1">
      <c r="A20" s="105" t="s">
        <v>423</v>
      </c>
      <c r="B20" s="229" t="s">
        <v>506</v>
      </c>
      <c r="C20" s="85">
        <f>C19*100/C18</f>
        <v>100.31948881789137</v>
      </c>
      <c r="D20" s="85">
        <f>D19*100/D18</f>
        <v>98.85844748858447</v>
      </c>
      <c r="E20" s="85"/>
      <c r="F20" s="85"/>
      <c r="G20" s="85">
        <f>G19*100/G18</f>
        <v>84.0909090909091</v>
      </c>
      <c r="H20" s="85"/>
      <c r="I20" s="85">
        <f>I19*100/I18</f>
        <v>100</v>
      </c>
      <c r="J20" s="85">
        <f>J19*100/J18</f>
        <v>61.53846153846154</v>
      </c>
      <c r="K20" s="85"/>
      <c r="L20" s="85"/>
      <c r="M20" s="85"/>
      <c r="N20" s="85"/>
      <c r="O20" s="85">
        <f>O19*100/O18</f>
        <v>100</v>
      </c>
      <c r="P20" s="62"/>
      <c r="Q20" s="62"/>
      <c r="R20" s="62"/>
      <c r="S20" s="62"/>
      <c r="T20" s="220"/>
      <c r="U20" s="220">
        <v>1000</v>
      </c>
      <c r="V20" s="220" t="s">
        <v>354</v>
      </c>
      <c r="W20" s="63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</row>
    <row r="21" spans="1:55" ht="18" customHeight="1">
      <c r="A21" s="81" t="s">
        <v>373</v>
      </c>
      <c r="B21" s="228" t="s">
        <v>430</v>
      </c>
      <c r="C21" s="82">
        <v>2630</v>
      </c>
      <c r="D21" s="82">
        <v>920</v>
      </c>
      <c r="E21" s="82">
        <v>73</v>
      </c>
      <c r="F21" s="82">
        <v>675</v>
      </c>
      <c r="G21" s="82">
        <v>260</v>
      </c>
      <c r="H21" s="82"/>
      <c r="I21" s="82">
        <v>75</v>
      </c>
      <c r="J21" s="82">
        <v>236</v>
      </c>
      <c r="K21" s="82"/>
      <c r="L21" s="82"/>
      <c r="M21" s="82"/>
      <c r="N21" s="82">
        <v>300</v>
      </c>
      <c r="O21" s="82">
        <v>5169</v>
      </c>
      <c r="P21" s="62"/>
      <c r="Q21" s="62"/>
      <c r="R21" s="62"/>
      <c r="S21" s="62"/>
      <c r="T21" s="220"/>
      <c r="U21" s="220">
        <v>4500</v>
      </c>
      <c r="V21" s="220" t="s">
        <v>356</v>
      </c>
      <c r="W21" s="63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</row>
    <row r="22" spans="1:55" ht="18" customHeight="1">
      <c r="A22" s="81" t="s">
        <v>374</v>
      </c>
      <c r="B22" s="228" t="s">
        <v>505</v>
      </c>
      <c r="C22" s="82">
        <v>2247</v>
      </c>
      <c r="D22" s="82">
        <v>783</v>
      </c>
      <c r="E22" s="82">
        <v>0</v>
      </c>
      <c r="F22" s="82">
        <v>184</v>
      </c>
      <c r="G22" s="82">
        <v>360</v>
      </c>
      <c r="H22" s="82">
        <v>0</v>
      </c>
      <c r="I22" s="82">
        <v>65</v>
      </c>
      <c r="J22" s="82">
        <v>149</v>
      </c>
      <c r="K22" s="82"/>
      <c r="L22" s="82"/>
      <c r="M22" s="82"/>
      <c r="N22" s="82">
        <v>0</v>
      </c>
      <c r="O22" s="82">
        <f>SUM(C22:J22)</f>
        <v>3788</v>
      </c>
      <c r="P22" s="62"/>
      <c r="Q22" s="62"/>
      <c r="R22" s="62"/>
      <c r="S22" s="62"/>
      <c r="T22" s="220"/>
      <c r="U22" s="220">
        <v>1600</v>
      </c>
      <c r="V22" s="220" t="s">
        <v>358</v>
      </c>
      <c r="W22" s="63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</row>
    <row r="23" spans="1:55" ht="18" customHeight="1" thickBot="1">
      <c r="A23" s="84" t="s">
        <v>512</v>
      </c>
      <c r="B23" s="229" t="s">
        <v>506</v>
      </c>
      <c r="C23" s="85">
        <f>C22*100/C21</f>
        <v>85.43726235741445</v>
      </c>
      <c r="D23" s="85">
        <f aca="true" t="shared" si="1" ref="D23:O23">D22*100/D21</f>
        <v>85.1086956521739</v>
      </c>
      <c r="E23" s="85">
        <f t="shared" si="1"/>
        <v>0</v>
      </c>
      <c r="F23" s="85">
        <f t="shared" si="1"/>
        <v>27.25925925925926</v>
      </c>
      <c r="G23" s="85">
        <f t="shared" si="1"/>
        <v>138.46153846153845</v>
      </c>
      <c r="H23" s="85"/>
      <c r="I23" s="85">
        <f t="shared" si="1"/>
        <v>86.66666666666667</v>
      </c>
      <c r="J23" s="85">
        <f t="shared" si="1"/>
        <v>63.13559322033898</v>
      </c>
      <c r="K23" s="85"/>
      <c r="L23" s="85"/>
      <c r="M23" s="85"/>
      <c r="N23" s="85">
        <f t="shared" si="1"/>
        <v>0</v>
      </c>
      <c r="O23" s="85">
        <f t="shared" si="1"/>
        <v>73.28303346875605</v>
      </c>
      <c r="P23" s="62"/>
      <c r="Q23" s="62"/>
      <c r="R23" s="62"/>
      <c r="S23" s="62"/>
      <c r="T23" s="220"/>
      <c r="U23" s="220">
        <v>1000</v>
      </c>
      <c r="V23" s="220" t="s">
        <v>359</v>
      </c>
      <c r="W23" s="63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1:55" ht="18" customHeight="1">
      <c r="A24" s="81" t="s">
        <v>368</v>
      </c>
      <c r="B24" s="228" t="s">
        <v>430</v>
      </c>
      <c r="C24" s="87"/>
      <c r="D24" s="87"/>
      <c r="E24" s="87"/>
      <c r="F24" s="87">
        <v>129</v>
      </c>
      <c r="G24" s="87">
        <v>100</v>
      </c>
      <c r="H24" s="87"/>
      <c r="I24" s="87">
        <v>110</v>
      </c>
      <c r="J24" s="87">
        <v>7</v>
      </c>
      <c r="K24" s="87"/>
      <c r="L24" s="87"/>
      <c r="M24" s="87"/>
      <c r="N24" s="87"/>
      <c r="O24" s="87">
        <v>346</v>
      </c>
      <c r="P24" s="62"/>
      <c r="Q24" s="62"/>
      <c r="R24" s="62"/>
      <c r="S24" s="62"/>
      <c r="T24" s="221">
        <f>SUM(T10:T23)</f>
        <v>0</v>
      </c>
      <c r="U24" s="221">
        <f>SUM(U10:U23)</f>
        <v>9799</v>
      </c>
      <c r="V24" s="221"/>
      <c r="W24" s="221">
        <f>T24-U24</f>
        <v>-9799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</row>
    <row r="25" spans="1:55" ht="18" customHeight="1">
      <c r="A25" s="81" t="s">
        <v>369</v>
      </c>
      <c r="B25" s="228" t="s">
        <v>505</v>
      </c>
      <c r="C25" s="82"/>
      <c r="D25" s="82"/>
      <c r="E25" s="82"/>
      <c r="F25" s="82">
        <v>42</v>
      </c>
      <c r="G25" s="82">
        <v>55</v>
      </c>
      <c r="H25" s="82"/>
      <c r="I25" s="82">
        <v>38</v>
      </c>
      <c r="J25" s="82">
        <v>1</v>
      </c>
      <c r="K25" s="82"/>
      <c r="L25" s="82"/>
      <c r="M25" s="82"/>
      <c r="N25" s="82"/>
      <c r="O25" s="87">
        <f>SUM(F25:J25)</f>
        <v>136</v>
      </c>
      <c r="P25" s="62"/>
      <c r="Q25" s="62"/>
      <c r="R25" s="62"/>
      <c r="S25" s="62"/>
      <c r="T25" s="62"/>
      <c r="U25" s="64"/>
      <c r="V25" s="64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</row>
    <row r="26" spans="1:55" ht="18" customHeight="1" thickBot="1">
      <c r="A26" s="84" t="s">
        <v>370</v>
      </c>
      <c r="B26" s="229" t="s">
        <v>506</v>
      </c>
      <c r="C26" s="89"/>
      <c r="D26" s="89"/>
      <c r="E26" s="89"/>
      <c r="F26" s="89">
        <f>F25*100/F24</f>
        <v>32.55813953488372</v>
      </c>
      <c r="G26" s="89">
        <f aca="true" t="shared" si="2" ref="G26:O26">G25*100/G24</f>
        <v>55</v>
      </c>
      <c r="H26" s="89"/>
      <c r="I26" s="89">
        <f t="shared" si="2"/>
        <v>34.54545454545455</v>
      </c>
      <c r="J26" s="89">
        <f t="shared" si="2"/>
        <v>14.285714285714286</v>
      </c>
      <c r="K26" s="89"/>
      <c r="L26" s="89"/>
      <c r="M26" s="89"/>
      <c r="N26" s="89"/>
      <c r="O26" s="89">
        <f t="shared" si="2"/>
        <v>39.30635838150289</v>
      </c>
      <c r="P26" s="62"/>
      <c r="Q26" s="62"/>
      <c r="R26" s="62"/>
      <c r="S26" s="62"/>
      <c r="T26" s="62"/>
      <c r="U26" s="64"/>
      <c r="V26" s="64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</row>
    <row r="27" spans="1:55" ht="18" customHeight="1">
      <c r="A27" s="81" t="s">
        <v>365</v>
      </c>
      <c r="B27" s="228" t="s">
        <v>430</v>
      </c>
      <c r="C27" s="91"/>
      <c r="D27" s="91"/>
      <c r="E27" s="91"/>
      <c r="F27" s="91">
        <v>40</v>
      </c>
      <c r="G27" s="91">
        <v>30</v>
      </c>
      <c r="H27" s="91">
        <v>100</v>
      </c>
      <c r="I27" s="91">
        <v>220</v>
      </c>
      <c r="J27" s="91">
        <v>75</v>
      </c>
      <c r="K27" s="91">
        <v>33</v>
      </c>
      <c r="L27" s="91"/>
      <c r="M27" s="91"/>
      <c r="N27" s="91"/>
      <c r="O27" s="91">
        <v>498</v>
      </c>
      <c r="P27" s="62"/>
      <c r="Q27" s="62"/>
      <c r="R27" s="62"/>
      <c r="S27" s="62"/>
      <c r="T27" s="62"/>
      <c r="U27" s="64"/>
      <c r="V27" s="64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</row>
    <row r="28" spans="1:55" ht="18" customHeight="1">
      <c r="A28" s="81" t="s">
        <v>366</v>
      </c>
      <c r="B28" s="228" t="s">
        <v>505</v>
      </c>
      <c r="C28" s="82"/>
      <c r="D28" s="82"/>
      <c r="E28" s="82"/>
      <c r="F28" s="82">
        <v>17</v>
      </c>
      <c r="G28" s="82">
        <f>46+7+9+10</f>
        <v>72</v>
      </c>
      <c r="H28" s="82">
        <f>66+53+24+5</f>
        <v>148</v>
      </c>
      <c r="I28" s="82">
        <f>4+15+19</f>
        <v>38</v>
      </c>
      <c r="J28" s="82">
        <f>42+20+1+10+20</f>
        <v>93</v>
      </c>
      <c r="K28" s="82"/>
      <c r="L28" s="82"/>
      <c r="M28" s="82"/>
      <c r="N28" s="82"/>
      <c r="O28" s="82">
        <f>SUM(F28:J28)</f>
        <v>368</v>
      </c>
      <c r="P28" s="62"/>
      <c r="Q28" s="62"/>
      <c r="R28" s="62"/>
      <c r="S28" s="62"/>
      <c r="T28" s="62"/>
      <c r="U28" s="64"/>
      <c r="V28" s="64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</row>
    <row r="29" spans="1:55" ht="18" customHeight="1" thickBot="1">
      <c r="A29" s="84" t="s">
        <v>367</v>
      </c>
      <c r="B29" s="229" t="s">
        <v>506</v>
      </c>
      <c r="C29" s="85"/>
      <c r="D29" s="85"/>
      <c r="E29" s="85"/>
      <c r="F29" s="85">
        <f>F28*100/F27</f>
        <v>42.5</v>
      </c>
      <c r="G29" s="85">
        <f aca="true" t="shared" si="3" ref="G29:O29">G28*100/G27</f>
        <v>240</v>
      </c>
      <c r="H29" s="85">
        <f t="shared" si="3"/>
        <v>148</v>
      </c>
      <c r="I29" s="85">
        <f t="shared" si="3"/>
        <v>17.272727272727273</v>
      </c>
      <c r="J29" s="85">
        <f t="shared" si="3"/>
        <v>124</v>
      </c>
      <c r="K29" s="85">
        <f t="shared" si="3"/>
        <v>0</v>
      </c>
      <c r="L29" s="85"/>
      <c r="M29" s="85"/>
      <c r="N29" s="85"/>
      <c r="O29" s="85">
        <f t="shared" si="3"/>
        <v>73.89558232931726</v>
      </c>
      <c r="P29" s="62"/>
      <c r="Q29" s="62"/>
      <c r="R29" s="62"/>
      <c r="S29" s="62"/>
      <c r="T29" s="62"/>
      <c r="U29" s="64"/>
      <c r="V29" s="64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</row>
    <row r="30" spans="1:55" ht="18" customHeight="1">
      <c r="A30" s="81" t="s">
        <v>453</v>
      </c>
      <c r="B30" s="228" t="s">
        <v>430</v>
      </c>
      <c r="C30" s="91"/>
      <c r="D30" s="91"/>
      <c r="E30" s="91"/>
      <c r="F30" s="91"/>
      <c r="G30" s="91"/>
      <c r="H30" s="91"/>
      <c r="I30" s="91"/>
      <c r="J30" s="91">
        <v>11</v>
      </c>
      <c r="K30" s="91"/>
      <c r="L30" s="91"/>
      <c r="M30" s="91"/>
      <c r="N30" s="91">
        <v>470</v>
      </c>
      <c r="O30" s="91">
        <v>481</v>
      </c>
      <c r="P30" s="62"/>
      <c r="Q30" s="62"/>
      <c r="R30" s="62"/>
      <c r="S30" s="62"/>
      <c r="T30" s="62"/>
      <c r="U30" s="64"/>
      <c r="V30" s="64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pans="1:55" ht="18" customHeight="1">
      <c r="A31" s="81" t="s">
        <v>454</v>
      </c>
      <c r="B31" s="228" t="s">
        <v>505</v>
      </c>
      <c r="C31" s="82"/>
      <c r="D31" s="82"/>
      <c r="E31" s="82"/>
      <c r="F31" s="82"/>
      <c r="G31" s="82"/>
      <c r="H31" s="82"/>
      <c r="I31" s="82"/>
      <c r="J31" s="82">
        <f>28</f>
        <v>28</v>
      </c>
      <c r="K31" s="82">
        <v>202</v>
      </c>
      <c r="L31" s="82"/>
      <c r="M31" s="82"/>
      <c r="N31" s="82">
        <v>12576</v>
      </c>
      <c r="O31" s="82">
        <f>SUM(J31:N31)</f>
        <v>12806</v>
      </c>
      <c r="P31" s="62"/>
      <c r="Q31" s="62"/>
      <c r="R31" s="62"/>
      <c r="S31" s="62"/>
      <c r="T31" s="62"/>
      <c r="U31" s="64"/>
      <c r="V31" s="64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</row>
    <row r="32" spans="1:55" ht="18" customHeight="1" thickBot="1">
      <c r="A32" s="84"/>
      <c r="B32" s="229" t="s">
        <v>506</v>
      </c>
      <c r="C32" s="85"/>
      <c r="D32" s="85"/>
      <c r="E32" s="85"/>
      <c r="F32" s="85"/>
      <c r="G32" s="85"/>
      <c r="H32" s="85"/>
      <c r="I32" s="85"/>
      <c r="J32" s="85">
        <f>J31*100/J30</f>
        <v>254.54545454545453</v>
      </c>
      <c r="K32" s="85"/>
      <c r="L32" s="85"/>
      <c r="M32" s="85"/>
      <c r="N32" s="85">
        <f>N31*100/N30</f>
        <v>2675.744680851064</v>
      </c>
      <c r="O32" s="85">
        <f>O31*100/O30</f>
        <v>2662.3700623700624</v>
      </c>
      <c r="P32" s="62"/>
      <c r="Q32" s="62"/>
      <c r="R32" s="62"/>
      <c r="S32" s="62"/>
      <c r="T32" s="62"/>
      <c r="U32" s="64"/>
      <c r="V32" s="64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</row>
    <row r="33" spans="1:15" ht="15.75">
      <c r="A33" s="70"/>
      <c r="B33" s="22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.75">
      <c r="A34" s="70"/>
      <c r="B34" s="224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>
      <c r="A35" s="70"/>
      <c r="B35" s="224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5.75">
      <c r="A36" s="70"/>
      <c r="B36" s="22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23.25">
      <c r="A37" s="158" t="s">
        <v>493</v>
      </c>
      <c r="B37" s="224"/>
      <c r="C37" s="159"/>
      <c r="D37" s="159"/>
      <c r="E37" s="159"/>
      <c r="F37" s="159"/>
      <c r="G37" s="71"/>
      <c r="H37" s="71"/>
      <c r="I37" s="71"/>
      <c r="J37" s="71"/>
      <c r="K37" s="71"/>
      <c r="L37" s="71"/>
      <c r="M37" s="71"/>
      <c r="N37" s="71"/>
      <c r="O37" s="72" t="s">
        <v>364</v>
      </c>
    </row>
    <row r="38" spans="1:15" ht="15.75" thickBot="1">
      <c r="A38" s="73"/>
      <c r="B38" s="224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 t="s">
        <v>128</v>
      </c>
    </row>
    <row r="39" spans="1:15" ht="15.75">
      <c r="A39" s="74"/>
      <c r="B39" s="225"/>
      <c r="C39" s="75" t="s">
        <v>317</v>
      </c>
      <c r="D39" s="75" t="s">
        <v>318</v>
      </c>
      <c r="E39" s="75" t="s">
        <v>319</v>
      </c>
      <c r="F39" s="75" t="s">
        <v>320</v>
      </c>
      <c r="G39" s="75" t="s">
        <v>321</v>
      </c>
      <c r="H39" s="75" t="s">
        <v>322</v>
      </c>
      <c r="I39" s="75" t="s">
        <v>323</v>
      </c>
      <c r="J39" s="75" t="s">
        <v>324</v>
      </c>
      <c r="K39" s="75" t="s">
        <v>325</v>
      </c>
      <c r="L39" s="75" t="s">
        <v>326</v>
      </c>
      <c r="M39" s="75" t="s">
        <v>327</v>
      </c>
      <c r="N39" s="75" t="s">
        <v>449</v>
      </c>
      <c r="O39" s="75" t="s">
        <v>27</v>
      </c>
    </row>
    <row r="40" spans="1:15" ht="15.75">
      <c r="A40" s="76" t="s">
        <v>3</v>
      </c>
      <c r="B40" s="226"/>
      <c r="C40" s="77"/>
      <c r="D40" s="77" t="s">
        <v>328</v>
      </c>
      <c r="E40" s="77" t="s">
        <v>329</v>
      </c>
      <c r="F40" s="77" t="s">
        <v>330</v>
      </c>
      <c r="G40" s="77" t="s">
        <v>331</v>
      </c>
      <c r="H40" s="77" t="s">
        <v>332</v>
      </c>
      <c r="I40" s="77" t="s">
        <v>333</v>
      </c>
      <c r="J40" s="77" t="s">
        <v>334</v>
      </c>
      <c r="K40" s="77" t="s">
        <v>335</v>
      </c>
      <c r="L40" s="77" t="s">
        <v>336</v>
      </c>
      <c r="M40" s="77" t="s">
        <v>337</v>
      </c>
      <c r="N40" s="77" t="s">
        <v>450</v>
      </c>
      <c r="O40" s="77" t="s">
        <v>107</v>
      </c>
    </row>
    <row r="41" spans="1:15" ht="15.75">
      <c r="A41" s="76"/>
      <c r="B41" s="226"/>
      <c r="C41" s="77"/>
      <c r="D41" s="77" t="s">
        <v>338</v>
      </c>
      <c r="E41" s="77" t="s">
        <v>339</v>
      </c>
      <c r="F41" s="77" t="s">
        <v>340</v>
      </c>
      <c r="G41" s="77" t="s">
        <v>341</v>
      </c>
      <c r="H41" s="77"/>
      <c r="I41" s="77" t="s">
        <v>342</v>
      </c>
      <c r="J41" s="77" t="s">
        <v>343</v>
      </c>
      <c r="K41" s="77"/>
      <c r="L41" s="77"/>
      <c r="M41" s="77"/>
      <c r="N41" s="77"/>
      <c r="O41" s="77"/>
    </row>
    <row r="42" spans="1:55" s="80" customFormat="1" ht="16.5" thickBot="1">
      <c r="A42" s="78"/>
      <c r="B42" s="227"/>
      <c r="C42" s="79"/>
      <c r="D42" s="79"/>
      <c r="E42" s="79"/>
      <c r="F42" s="79"/>
      <c r="G42" s="79"/>
      <c r="H42" s="79"/>
      <c r="I42" s="79" t="s">
        <v>344</v>
      </c>
      <c r="J42" s="79" t="s">
        <v>345</v>
      </c>
      <c r="K42" s="79"/>
      <c r="L42" s="79"/>
      <c r="M42" s="79"/>
      <c r="N42" s="79"/>
      <c r="O42" s="79"/>
      <c r="P42" s="116"/>
      <c r="Q42" s="116"/>
      <c r="R42" s="116"/>
      <c r="S42" s="116"/>
      <c r="T42" s="116"/>
      <c r="U42" s="117"/>
      <c r="V42" s="117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5" ht="18" customHeight="1" thickTop="1">
      <c r="A43" s="81" t="s">
        <v>351</v>
      </c>
      <c r="B43" s="228" t="s">
        <v>430</v>
      </c>
      <c r="C43" s="82">
        <v>21780</v>
      </c>
      <c r="D43" s="82">
        <v>7612</v>
      </c>
      <c r="E43" s="82">
        <v>30</v>
      </c>
      <c r="F43" s="92">
        <v>840</v>
      </c>
      <c r="G43" s="92">
        <v>2070</v>
      </c>
      <c r="H43" s="92">
        <v>1277</v>
      </c>
      <c r="I43" s="92">
        <v>700</v>
      </c>
      <c r="J43" s="92">
        <v>2192</v>
      </c>
      <c r="K43" s="92">
        <v>85</v>
      </c>
      <c r="L43" s="92"/>
      <c r="M43" s="92"/>
      <c r="N43" s="92">
        <v>80</v>
      </c>
      <c r="O43" s="92">
        <v>36666</v>
      </c>
      <c r="P43" s="62"/>
      <c r="Q43" s="62"/>
      <c r="R43" s="62"/>
      <c r="S43" s="62"/>
      <c r="T43" s="62"/>
      <c r="U43" s="64"/>
      <c r="V43" s="64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</row>
    <row r="44" spans="1:55" ht="18" customHeight="1">
      <c r="A44" s="81" t="s">
        <v>420</v>
      </c>
      <c r="B44" s="228" t="s">
        <v>505</v>
      </c>
      <c r="C44" s="82">
        <f>10125+9059+2251</f>
        <v>21435</v>
      </c>
      <c r="D44" s="82">
        <f>1893+177+50+262+2973+174+589+262+1009</f>
        <v>7389</v>
      </c>
      <c r="E44" s="82">
        <v>3</v>
      </c>
      <c r="F44" s="87">
        <f>347+24+265</f>
        <v>636</v>
      </c>
      <c r="G44" s="87">
        <v>1540</v>
      </c>
      <c r="H44" s="87">
        <f>2+33+276+554</f>
        <v>865</v>
      </c>
      <c r="I44" s="87">
        <f>2+398+4+53+32</f>
        <v>489</v>
      </c>
      <c r="J44" s="87">
        <v>2313</v>
      </c>
      <c r="K44" s="87">
        <v>46</v>
      </c>
      <c r="L44" s="87"/>
      <c r="M44" s="87"/>
      <c r="N44" s="87">
        <v>0</v>
      </c>
      <c r="O44" s="87">
        <f>SUM(C44:K44)</f>
        <v>34716</v>
      </c>
      <c r="P44" s="62"/>
      <c r="Q44" s="62"/>
      <c r="R44" s="62"/>
      <c r="S44" s="62"/>
      <c r="T44" s="62"/>
      <c r="U44" s="64"/>
      <c r="V44" s="64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</row>
    <row r="45" spans="1:55" ht="18" customHeight="1" thickBot="1">
      <c r="A45" s="84" t="s">
        <v>421</v>
      </c>
      <c r="B45" s="229" t="s">
        <v>506</v>
      </c>
      <c r="C45" s="85">
        <f>C44*100/C43</f>
        <v>98.4159779614325</v>
      </c>
      <c r="D45" s="85">
        <f aca="true" t="shared" si="4" ref="D45:O45">D44*100/D43</f>
        <v>97.07041513399895</v>
      </c>
      <c r="E45" s="85">
        <f t="shared" si="4"/>
        <v>10</v>
      </c>
      <c r="F45" s="85">
        <f t="shared" si="4"/>
        <v>75.71428571428571</v>
      </c>
      <c r="G45" s="85">
        <f t="shared" si="4"/>
        <v>74.39613526570048</v>
      </c>
      <c r="H45" s="85">
        <f t="shared" si="4"/>
        <v>67.7368833202819</v>
      </c>
      <c r="I45" s="85">
        <f t="shared" si="4"/>
        <v>69.85714285714286</v>
      </c>
      <c r="J45" s="85">
        <f t="shared" si="4"/>
        <v>105.52007299270073</v>
      </c>
      <c r="K45" s="85">
        <f t="shared" si="4"/>
        <v>54.11764705882353</v>
      </c>
      <c r="L45" s="85"/>
      <c r="M45" s="85"/>
      <c r="N45" s="85">
        <f t="shared" si="4"/>
        <v>0</v>
      </c>
      <c r="O45" s="85">
        <f t="shared" si="4"/>
        <v>94.6817214858452</v>
      </c>
      <c r="P45" s="62"/>
      <c r="Q45" s="62"/>
      <c r="R45" s="62"/>
      <c r="S45" s="62"/>
      <c r="T45" s="62"/>
      <c r="U45" s="64"/>
      <c r="V45" s="64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</row>
    <row r="46" spans="1:55" ht="18" customHeight="1">
      <c r="A46" s="81" t="s">
        <v>360</v>
      </c>
      <c r="B46" s="228" t="s">
        <v>430</v>
      </c>
      <c r="C46" s="82">
        <v>900</v>
      </c>
      <c r="D46" s="82">
        <v>312</v>
      </c>
      <c r="E46" s="82"/>
      <c r="F46" s="91">
        <v>114</v>
      </c>
      <c r="G46" s="91">
        <v>1144</v>
      </c>
      <c r="H46" s="91"/>
      <c r="I46" s="91">
        <v>8</v>
      </c>
      <c r="J46" s="91">
        <v>38</v>
      </c>
      <c r="K46" s="91">
        <v>19</v>
      </c>
      <c r="L46" s="91"/>
      <c r="M46" s="91"/>
      <c r="N46" s="91"/>
      <c r="O46" s="91">
        <v>2535</v>
      </c>
      <c r="P46" s="62"/>
      <c r="Q46" s="62"/>
      <c r="R46" s="62"/>
      <c r="S46" s="62"/>
      <c r="T46" s="62"/>
      <c r="U46" s="64"/>
      <c r="V46" s="64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</row>
    <row r="47" spans="1:55" ht="18" customHeight="1">
      <c r="A47" s="81" t="s">
        <v>361</v>
      </c>
      <c r="B47" s="228" t="s">
        <v>505</v>
      </c>
      <c r="C47" s="82">
        <f>519+279+139</f>
        <v>937</v>
      </c>
      <c r="D47" s="82">
        <f>92+11+129+7+20+7+44</f>
        <v>310</v>
      </c>
      <c r="E47" s="82"/>
      <c r="F47" s="87">
        <f>53+15</f>
        <v>68</v>
      </c>
      <c r="G47" s="87">
        <f>956+7+16+29</f>
        <v>1008</v>
      </c>
      <c r="H47" s="87"/>
      <c r="I47" s="87">
        <v>2</v>
      </c>
      <c r="J47" s="87">
        <f>9+1+14+10</f>
        <v>34</v>
      </c>
      <c r="K47" s="87"/>
      <c r="L47" s="87"/>
      <c r="M47" s="87"/>
      <c r="N47" s="87"/>
      <c r="O47" s="87">
        <f>SUM(C47:J47)</f>
        <v>2359</v>
      </c>
      <c r="P47" s="62"/>
      <c r="Q47" s="62"/>
      <c r="R47" s="62"/>
      <c r="S47" s="62"/>
      <c r="T47" s="62"/>
      <c r="U47" s="64"/>
      <c r="V47" s="64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</row>
    <row r="48" spans="1:55" ht="18" customHeight="1" thickBot="1">
      <c r="A48" s="84" t="s">
        <v>362</v>
      </c>
      <c r="B48" s="229" t="s">
        <v>506</v>
      </c>
      <c r="C48" s="85">
        <f>C47*100/C46</f>
        <v>104.11111111111111</v>
      </c>
      <c r="D48" s="85">
        <f aca="true" t="shared" si="5" ref="D48:O48">D47*100/D46</f>
        <v>99.35897435897436</v>
      </c>
      <c r="E48" s="85"/>
      <c r="F48" s="85">
        <f t="shared" si="5"/>
        <v>59.64912280701754</v>
      </c>
      <c r="G48" s="85">
        <f t="shared" si="5"/>
        <v>88.1118881118881</v>
      </c>
      <c r="H48" s="85"/>
      <c r="I48" s="85">
        <f t="shared" si="5"/>
        <v>25</v>
      </c>
      <c r="J48" s="85">
        <f t="shared" si="5"/>
        <v>89.47368421052632</v>
      </c>
      <c r="K48" s="85">
        <f t="shared" si="5"/>
        <v>0</v>
      </c>
      <c r="L48" s="85"/>
      <c r="M48" s="85"/>
      <c r="N48" s="85"/>
      <c r="O48" s="85">
        <f t="shared" si="5"/>
        <v>93.05719921104536</v>
      </c>
      <c r="P48" s="62"/>
      <c r="Q48" s="62"/>
      <c r="R48" s="62"/>
      <c r="S48" s="62"/>
      <c r="T48" s="62"/>
      <c r="U48" s="64"/>
      <c r="V48" s="64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</row>
    <row r="49" spans="1:55" ht="18" customHeight="1">
      <c r="A49" s="81" t="s">
        <v>346</v>
      </c>
      <c r="B49" s="228" t="s">
        <v>430</v>
      </c>
      <c r="C49" s="82"/>
      <c r="D49" s="82"/>
      <c r="E49" s="82"/>
      <c r="F49" s="82"/>
      <c r="G49" s="82"/>
      <c r="H49" s="82"/>
      <c r="I49" s="82"/>
      <c r="J49" s="82">
        <v>1533</v>
      </c>
      <c r="K49" s="91"/>
      <c r="L49" s="91"/>
      <c r="M49" s="91"/>
      <c r="N49" s="91"/>
      <c r="O49" s="91">
        <v>1533</v>
      </c>
      <c r="P49" s="62"/>
      <c r="Q49" s="62"/>
      <c r="R49" s="62"/>
      <c r="S49" s="62"/>
      <c r="T49" s="62"/>
      <c r="U49" s="64"/>
      <c r="V49" s="64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</row>
    <row r="50" spans="1:55" ht="18" customHeight="1">
      <c r="A50" s="81" t="s">
        <v>347</v>
      </c>
      <c r="B50" s="228" t="s">
        <v>505</v>
      </c>
      <c r="C50" s="82"/>
      <c r="D50" s="82"/>
      <c r="E50" s="82"/>
      <c r="F50" s="82"/>
      <c r="G50" s="82"/>
      <c r="H50" s="82"/>
      <c r="I50" s="82"/>
      <c r="J50" s="82">
        <f>1476+186</f>
        <v>1662</v>
      </c>
      <c r="K50" s="87"/>
      <c r="L50" s="87"/>
      <c r="M50" s="87"/>
      <c r="N50" s="87"/>
      <c r="O50" s="87">
        <f>SUM(J50)</f>
        <v>1662</v>
      </c>
      <c r="P50" s="62"/>
      <c r="Q50" s="62"/>
      <c r="R50" s="62"/>
      <c r="S50" s="62"/>
      <c r="T50" s="62"/>
      <c r="U50" s="64"/>
      <c r="V50" s="64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</row>
    <row r="51" spans="1:55" ht="18" customHeight="1" thickBot="1">
      <c r="A51" s="84" t="s">
        <v>438</v>
      </c>
      <c r="B51" s="229" t="s">
        <v>506</v>
      </c>
      <c r="C51" s="85"/>
      <c r="D51" s="85"/>
      <c r="E51" s="85"/>
      <c r="F51" s="85"/>
      <c r="G51" s="85"/>
      <c r="H51" s="85"/>
      <c r="I51" s="85"/>
      <c r="J51" s="85">
        <f>J50*100/J49</f>
        <v>108.41487279843444</v>
      </c>
      <c r="K51" s="85"/>
      <c r="L51" s="85"/>
      <c r="M51" s="85"/>
      <c r="N51" s="85"/>
      <c r="O51" s="85">
        <v>108</v>
      </c>
      <c r="P51" s="62"/>
      <c r="Q51" s="62"/>
      <c r="R51" s="62"/>
      <c r="S51" s="62"/>
      <c r="T51" s="62"/>
      <c r="U51" s="64"/>
      <c r="V51" s="64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</row>
    <row r="52" spans="1:55" ht="18" customHeight="1">
      <c r="A52" s="90"/>
      <c r="B52" s="228" t="s">
        <v>430</v>
      </c>
      <c r="C52" s="82"/>
      <c r="D52" s="82"/>
      <c r="E52" s="82"/>
      <c r="F52" s="82"/>
      <c r="G52" s="82"/>
      <c r="H52" s="82"/>
      <c r="I52" s="82"/>
      <c r="J52" s="82">
        <v>4311</v>
      </c>
      <c r="K52" s="91"/>
      <c r="L52" s="91"/>
      <c r="M52" s="91"/>
      <c r="N52" s="91"/>
      <c r="O52" s="91">
        <v>4311</v>
      </c>
      <c r="P52" s="62"/>
      <c r="Q52" s="62"/>
      <c r="R52" s="62"/>
      <c r="S52" s="62"/>
      <c r="T52" s="62"/>
      <c r="U52" s="64"/>
      <c r="V52" s="64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</row>
    <row r="53" spans="1:55" ht="18" customHeight="1">
      <c r="A53" s="81" t="s">
        <v>355</v>
      </c>
      <c r="B53" s="228" t="s">
        <v>505</v>
      </c>
      <c r="C53" s="82"/>
      <c r="D53" s="82"/>
      <c r="E53" s="82"/>
      <c r="F53" s="82"/>
      <c r="G53" s="82"/>
      <c r="H53" s="82"/>
      <c r="I53" s="82"/>
      <c r="J53" s="82">
        <v>2326</v>
      </c>
      <c r="K53" s="87"/>
      <c r="L53" s="87"/>
      <c r="M53" s="87"/>
      <c r="N53" s="87"/>
      <c r="O53" s="87">
        <v>2326</v>
      </c>
      <c r="P53" s="62"/>
      <c r="Q53" s="62"/>
      <c r="R53" s="62"/>
      <c r="S53" s="62"/>
      <c r="T53" s="62"/>
      <c r="U53" s="64"/>
      <c r="V53" s="64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</row>
    <row r="54" spans="1:55" ht="18" customHeight="1" thickBot="1">
      <c r="A54" s="84" t="s">
        <v>363</v>
      </c>
      <c r="B54" s="229" t="s">
        <v>506</v>
      </c>
      <c r="C54" s="85"/>
      <c r="D54" s="85"/>
      <c r="E54" s="85"/>
      <c r="F54" s="85"/>
      <c r="G54" s="85"/>
      <c r="H54" s="85"/>
      <c r="I54" s="85"/>
      <c r="J54" s="85">
        <f>J53*100/J52</f>
        <v>53.954998840176295</v>
      </c>
      <c r="K54" s="85"/>
      <c r="L54" s="85"/>
      <c r="M54" s="85"/>
      <c r="N54" s="85"/>
      <c r="O54" s="85">
        <v>54</v>
      </c>
      <c r="P54" s="62"/>
      <c r="Q54" s="62"/>
      <c r="R54" s="62"/>
      <c r="S54" s="62"/>
      <c r="T54" s="62"/>
      <c r="U54" s="64"/>
      <c r="V54" s="64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</row>
    <row r="55" spans="1:55" ht="18" customHeight="1">
      <c r="A55" s="81" t="s">
        <v>408</v>
      </c>
      <c r="B55" s="228" t="s">
        <v>430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>
        <v>11937</v>
      </c>
      <c r="O55" s="94">
        <v>11937</v>
      </c>
      <c r="P55" s="62"/>
      <c r="Q55" s="62"/>
      <c r="R55" s="62"/>
      <c r="S55" s="62"/>
      <c r="T55" s="62"/>
      <c r="U55" s="64"/>
      <c r="V55" s="64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</row>
    <row r="56" spans="1:55" ht="18" customHeight="1">
      <c r="A56" s="81" t="s">
        <v>409</v>
      </c>
      <c r="B56" s="228" t="s">
        <v>505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>
        <v>5905</v>
      </c>
      <c r="O56" s="82">
        <f>SUM(N56)</f>
        <v>5905</v>
      </c>
      <c r="P56" s="62"/>
      <c r="Q56" s="62"/>
      <c r="R56" s="62"/>
      <c r="S56" s="62"/>
      <c r="T56" s="62"/>
      <c r="U56" s="64"/>
      <c r="V56" s="64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</row>
    <row r="57" spans="1:55" ht="18" customHeight="1" thickBot="1">
      <c r="A57" s="84" t="s">
        <v>410</v>
      </c>
      <c r="B57" s="229" t="s">
        <v>506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>
        <f>N56*100/N55</f>
        <v>49.46804054620089</v>
      </c>
      <c r="O57" s="89">
        <f>O56*100/O55</f>
        <v>49.46804054620089</v>
      </c>
      <c r="P57" s="62"/>
      <c r="Q57" s="62"/>
      <c r="R57" s="62"/>
      <c r="S57" s="62"/>
      <c r="T57" s="62"/>
      <c r="U57" s="64"/>
      <c r="V57" s="64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</row>
    <row r="58" spans="1:55" ht="18" customHeight="1">
      <c r="A58" s="81" t="s">
        <v>351</v>
      </c>
      <c r="B58" s="228" t="s">
        <v>430</v>
      </c>
      <c r="C58" s="82"/>
      <c r="D58" s="82"/>
      <c r="E58" s="82"/>
      <c r="F58" s="91"/>
      <c r="G58" s="91"/>
      <c r="H58" s="91"/>
      <c r="I58" s="91"/>
      <c r="J58" s="91"/>
      <c r="K58" s="91">
        <v>90826</v>
      </c>
      <c r="L58" s="91"/>
      <c r="M58" s="91"/>
      <c r="N58" s="91">
        <v>10000</v>
      </c>
      <c r="O58" s="91">
        <v>100826</v>
      </c>
      <c r="P58" s="62"/>
      <c r="Q58" s="62"/>
      <c r="R58" s="62"/>
      <c r="S58" s="62"/>
      <c r="T58" s="62"/>
      <c r="U58" s="64"/>
      <c r="V58" s="64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</row>
    <row r="59" spans="1:55" ht="18" customHeight="1">
      <c r="A59" s="81" t="s">
        <v>352</v>
      </c>
      <c r="B59" s="228" t="s">
        <v>505</v>
      </c>
      <c r="C59" s="82"/>
      <c r="D59" s="82"/>
      <c r="E59" s="82"/>
      <c r="F59" s="87"/>
      <c r="G59" s="87"/>
      <c r="H59" s="87"/>
      <c r="I59" s="87"/>
      <c r="J59" s="87"/>
      <c r="K59" s="87">
        <f>10826+72000</f>
        <v>82826</v>
      </c>
      <c r="L59" s="87"/>
      <c r="M59" s="87">
        <v>40000</v>
      </c>
      <c r="N59" s="87">
        <v>8232</v>
      </c>
      <c r="O59" s="87">
        <f>N59+K59+M59</f>
        <v>131058</v>
      </c>
      <c r="P59" s="62"/>
      <c r="Q59" s="62"/>
      <c r="R59" s="62"/>
      <c r="S59" s="62"/>
      <c r="T59" s="62"/>
      <c r="U59" s="64"/>
      <c r="V59" s="64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</row>
    <row r="60" spans="1:55" ht="18" customHeight="1" thickBot="1">
      <c r="A60" s="84" t="s">
        <v>158</v>
      </c>
      <c r="B60" s="229" t="s">
        <v>506</v>
      </c>
      <c r="C60" s="85"/>
      <c r="D60" s="85"/>
      <c r="E60" s="85"/>
      <c r="F60" s="85"/>
      <c r="G60" s="85"/>
      <c r="H60" s="85"/>
      <c r="I60" s="85"/>
      <c r="J60" s="85"/>
      <c r="K60" s="85">
        <f>K59*100/K58</f>
        <v>91.1919494417898</v>
      </c>
      <c r="L60" s="85"/>
      <c r="M60" s="85"/>
      <c r="N60" s="85">
        <f>N59*100/N58</f>
        <v>82.32</v>
      </c>
      <c r="O60" s="85">
        <f>O59*100/O58</f>
        <v>129.98432943883523</v>
      </c>
      <c r="P60" s="62"/>
      <c r="Q60" s="62"/>
      <c r="R60" s="62"/>
      <c r="S60" s="62"/>
      <c r="T60" s="62"/>
      <c r="U60" s="64"/>
      <c r="V60" s="64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</row>
    <row r="61" spans="1:55" ht="18" customHeight="1">
      <c r="A61" s="81" t="s">
        <v>355</v>
      </c>
      <c r="B61" s="228" t="s">
        <v>430</v>
      </c>
      <c r="C61" s="82"/>
      <c r="D61" s="82"/>
      <c r="E61" s="82"/>
      <c r="F61" s="82"/>
      <c r="G61" s="82"/>
      <c r="H61" s="82"/>
      <c r="I61" s="82">
        <v>68000</v>
      </c>
      <c r="J61" s="82">
        <v>12000</v>
      </c>
      <c r="K61" s="91"/>
      <c r="L61" s="91"/>
      <c r="M61" s="91"/>
      <c r="N61" s="91">
        <v>72264</v>
      </c>
      <c r="O61" s="91">
        <v>152264</v>
      </c>
      <c r="P61" s="62"/>
      <c r="Q61" s="62"/>
      <c r="R61" s="62"/>
      <c r="S61" s="62"/>
      <c r="T61" s="62"/>
      <c r="U61" s="64"/>
      <c r="V61" s="64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</row>
    <row r="62" spans="1:55" ht="18" customHeight="1">
      <c r="A62" s="81" t="s">
        <v>357</v>
      </c>
      <c r="B62" s="228" t="s">
        <v>505</v>
      </c>
      <c r="C62" s="82"/>
      <c r="D62" s="82"/>
      <c r="E62" s="82"/>
      <c r="F62" s="82"/>
      <c r="G62" s="82">
        <v>22</v>
      </c>
      <c r="H62" s="82"/>
      <c r="I62" s="82">
        <v>59440</v>
      </c>
      <c r="J62" s="82">
        <f>25229</f>
        <v>25229</v>
      </c>
      <c r="K62" s="87"/>
      <c r="L62" s="87"/>
      <c r="M62" s="87"/>
      <c r="N62" s="87">
        <f>10480+41659+433+5000</f>
        <v>57572</v>
      </c>
      <c r="O62" s="87">
        <f>SUM(G62:N62)</f>
        <v>142263</v>
      </c>
      <c r="P62" s="62"/>
      <c r="Q62" s="62"/>
      <c r="R62" s="62"/>
      <c r="S62" s="62"/>
      <c r="T62" s="62"/>
      <c r="U62" s="64"/>
      <c r="V62" s="64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ht="18" customHeight="1" thickBot="1">
      <c r="A63" s="84" t="s">
        <v>158</v>
      </c>
      <c r="B63" s="229" t="s">
        <v>506</v>
      </c>
      <c r="C63" s="85"/>
      <c r="D63" s="85"/>
      <c r="E63" s="85"/>
      <c r="F63" s="85"/>
      <c r="G63" s="85"/>
      <c r="H63" s="85"/>
      <c r="I63" s="85">
        <f>I62*100/I61</f>
        <v>87.41176470588235</v>
      </c>
      <c r="J63" s="85">
        <f aca="true" t="shared" si="6" ref="J63:O63">J62*100/J61</f>
        <v>210.24166666666667</v>
      </c>
      <c r="K63" s="85"/>
      <c r="L63" s="85"/>
      <c r="M63" s="85"/>
      <c r="N63" s="85">
        <f t="shared" si="6"/>
        <v>79.66899147570021</v>
      </c>
      <c r="O63" s="85">
        <f t="shared" si="6"/>
        <v>93.43180265854043</v>
      </c>
      <c r="P63" s="62"/>
      <c r="Q63" s="62"/>
      <c r="R63" s="62"/>
      <c r="S63" s="62"/>
      <c r="T63" s="62"/>
      <c r="U63" s="64"/>
      <c r="V63" s="64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1:15" ht="18" customHeight="1">
      <c r="A64" s="158"/>
      <c r="B64" s="224"/>
      <c r="C64" s="159"/>
      <c r="D64" s="159"/>
      <c r="E64" s="159"/>
      <c r="F64" s="159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8" customHeight="1">
      <c r="A65" s="158"/>
      <c r="B65" s="224"/>
      <c r="C65" s="159"/>
      <c r="D65" s="159"/>
      <c r="E65" s="159"/>
      <c r="F65" s="159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8" customHeight="1">
      <c r="A66" s="158"/>
      <c r="B66" s="224"/>
      <c r="C66" s="159"/>
      <c r="D66" s="159"/>
      <c r="E66" s="159"/>
      <c r="F66" s="159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8" customHeight="1">
      <c r="A67" s="158" t="s">
        <v>493</v>
      </c>
      <c r="B67" s="224"/>
      <c r="C67" s="159"/>
      <c r="D67" s="159"/>
      <c r="E67" s="159"/>
      <c r="F67" s="159"/>
      <c r="G67" s="71"/>
      <c r="H67" s="71"/>
      <c r="I67" s="71"/>
      <c r="J67" s="71"/>
      <c r="K67" s="71"/>
      <c r="L67" s="71"/>
      <c r="M67" s="71"/>
      <c r="N67" s="71"/>
      <c r="O67" s="72" t="s">
        <v>379</v>
      </c>
    </row>
    <row r="68" spans="1:15" ht="18" customHeight="1" thickBot="1">
      <c r="A68" s="158"/>
      <c r="B68" s="224"/>
      <c r="C68" s="159"/>
      <c r="D68" s="159"/>
      <c r="E68" s="159"/>
      <c r="F68" s="159"/>
      <c r="G68" s="71"/>
      <c r="H68" s="71"/>
      <c r="I68" s="71"/>
      <c r="J68" s="71"/>
      <c r="K68" s="71"/>
      <c r="L68" s="71"/>
      <c r="M68" s="71"/>
      <c r="N68" s="71"/>
      <c r="O68" s="72" t="s">
        <v>128</v>
      </c>
    </row>
    <row r="69" spans="1:15" ht="15.75">
      <c r="A69" s="74"/>
      <c r="B69" s="225"/>
      <c r="C69" s="75" t="s">
        <v>317</v>
      </c>
      <c r="D69" s="75" t="s">
        <v>318</v>
      </c>
      <c r="E69" s="75" t="s">
        <v>319</v>
      </c>
      <c r="F69" s="75" t="s">
        <v>320</v>
      </c>
      <c r="G69" s="75" t="s">
        <v>321</v>
      </c>
      <c r="H69" s="75" t="s">
        <v>322</v>
      </c>
      <c r="I69" s="75" t="s">
        <v>323</v>
      </c>
      <c r="J69" s="75" t="s">
        <v>324</v>
      </c>
      <c r="K69" s="75" t="s">
        <v>325</v>
      </c>
      <c r="L69" s="75" t="s">
        <v>326</v>
      </c>
      <c r="M69" s="75" t="s">
        <v>327</v>
      </c>
      <c r="N69" s="75" t="s">
        <v>449</v>
      </c>
      <c r="O69" s="75" t="s">
        <v>27</v>
      </c>
    </row>
    <row r="70" spans="1:15" ht="15.75">
      <c r="A70" s="76" t="s">
        <v>3</v>
      </c>
      <c r="B70" s="226"/>
      <c r="C70" s="77"/>
      <c r="D70" s="77" t="s">
        <v>328</v>
      </c>
      <c r="E70" s="77" t="s">
        <v>329</v>
      </c>
      <c r="F70" s="77" t="s">
        <v>330</v>
      </c>
      <c r="G70" s="77" t="s">
        <v>331</v>
      </c>
      <c r="H70" s="77" t="s">
        <v>332</v>
      </c>
      <c r="I70" s="77" t="s">
        <v>333</v>
      </c>
      <c r="J70" s="77" t="s">
        <v>334</v>
      </c>
      <c r="K70" s="77" t="s">
        <v>335</v>
      </c>
      <c r="L70" s="77" t="s">
        <v>336</v>
      </c>
      <c r="M70" s="77" t="s">
        <v>337</v>
      </c>
      <c r="N70" s="77" t="s">
        <v>450</v>
      </c>
      <c r="O70" s="77" t="s">
        <v>107</v>
      </c>
    </row>
    <row r="71" spans="1:15" ht="15.75">
      <c r="A71" s="76"/>
      <c r="B71" s="226"/>
      <c r="C71" s="77"/>
      <c r="D71" s="77" t="s">
        <v>338</v>
      </c>
      <c r="E71" s="77" t="s">
        <v>339</v>
      </c>
      <c r="F71" s="77" t="s">
        <v>340</v>
      </c>
      <c r="G71" s="77" t="s">
        <v>341</v>
      </c>
      <c r="H71" s="77"/>
      <c r="I71" s="77" t="s">
        <v>342</v>
      </c>
      <c r="J71" s="77" t="s">
        <v>343</v>
      </c>
      <c r="K71" s="77"/>
      <c r="L71" s="77"/>
      <c r="M71" s="77"/>
      <c r="N71" s="77"/>
      <c r="O71" s="77"/>
    </row>
    <row r="72" spans="1:55" s="80" customFormat="1" ht="16.5" thickBot="1">
      <c r="A72" s="78"/>
      <c r="B72" s="227"/>
      <c r="C72" s="79"/>
      <c r="D72" s="79"/>
      <c r="E72" s="79"/>
      <c r="F72" s="79"/>
      <c r="G72" s="79"/>
      <c r="H72" s="79"/>
      <c r="I72" s="79" t="s">
        <v>344</v>
      </c>
      <c r="J72" s="79" t="s">
        <v>345</v>
      </c>
      <c r="K72" s="79"/>
      <c r="L72" s="79"/>
      <c r="M72" s="79"/>
      <c r="N72" s="79"/>
      <c r="O72" s="79"/>
      <c r="P72" s="116"/>
      <c r="Q72" s="116"/>
      <c r="R72" s="116"/>
      <c r="S72" s="116"/>
      <c r="T72" s="116"/>
      <c r="U72" s="117"/>
      <c r="V72" s="117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</row>
    <row r="73" spans="1:55" ht="18" customHeight="1" thickTop="1">
      <c r="A73" s="81" t="s">
        <v>401</v>
      </c>
      <c r="B73" s="228" t="s">
        <v>430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62"/>
      <c r="Q73" s="62"/>
      <c r="R73" s="62"/>
      <c r="S73" s="62"/>
      <c r="T73" s="62"/>
      <c r="U73" s="64"/>
      <c r="V73" s="64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</row>
    <row r="74" spans="1:55" ht="18" customHeight="1">
      <c r="A74" s="81" t="s">
        <v>402</v>
      </c>
      <c r="B74" s="228" t="s">
        <v>505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62"/>
      <c r="Q74" s="62"/>
      <c r="R74" s="62"/>
      <c r="S74" s="62"/>
      <c r="T74" s="62"/>
      <c r="U74" s="64"/>
      <c r="V74" s="64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</row>
    <row r="75" spans="1:55" ht="18" customHeight="1" thickBot="1">
      <c r="A75" s="84" t="s">
        <v>403</v>
      </c>
      <c r="B75" s="229" t="s">
        <v>506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62"/>
      <c r="Q75" s="62"/>
      <c r="R75" s="62"/>
      <c r="S75" s="62"/>
      <c r="T75" s="62"/>
      <c r="U75" s="64"/>
      <c r="V75" s="64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</row>
    <row r="76" spans="1:55" s="65" customFormat="1" ht="18" customHeight="1">
      <c r="A76" s="81" t="s">
        <v>415</v>
      </c>
      <c r="B76" s="228" t="s">
        <v>430</v>
      </c>
      <c r="C76" s="82"/>
      <c r="D76" s="82"/>
      <c r="E76" s="82"/>
      <c r="F76" s="82">
        <v>17326</v>
      </c>
      <c r="G76" s="82"/>
      <c r="H76" s="82"/>
      <c r="I76" s="82">
        <v>82037</v>
      </c>
      <c r="J76" s="82">
        <v>17309</v>
      </c>
      <c r="K76" s="82"/>
      <c r="L76" s="82"/>
      <c r="M76" s="82"/>
      <c r="N76" s="82">
        <v>530</v>
      </c>
      <c r="O76" s="82">
        <v>117202</v>
      </c>
      <c r="P76" s="305"/>
      <c r="Q76" s="305"/>
      <c r="R76" s="305"/>
      <c r="S76" s="305"/>
      <c r="T76" s="305"/>
      <c r="U76" s="306"/>
      <c r="V76" s="306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</row>
    <row r="77" spans="1:55" s="65" customFormat="1" ht="18" customHeight="1">
      <c r="A77" s="81" t="s">
        <v>416</v>
      </c>
      <c r="B77" s="228" t="s">
        <v>505</v>
      </c>
      <c r="C77" s="82"/>
      <c r="D77" s="82"/>
      <c r="E77" s="82"/>
      <c r="F77" s="82">
        <v>21189</v>
      </c>
      <c r="G77" s="82"/>
      <c r="H77" s="82"/>
      <c r="I77" s="82">
        <v>80073</v>
      </c>
      <c r="J77" s="82">
        <v>12271</v>
      </c>
      <c r="K77" s="82"/>
      <c r="L77" s="82"/>
      <c r="M77" s="82"/>
      <c r="N77" s="82">
        <v>489</v>
      </c>
      <c r="O77" s="82">
        <f>SUM(F77:N77)</f>
        <v>114022</v>
      </c>
      <c r="P77" s="305"/>
      <c r="Q77" s="305"/>
      <c r="R77" s="305"/>
      <c r="S77" s="305"/>
      <c r="T77" s="305"/>
      <c r="U77" s="306"/>
      <c r="V77" s="306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</row>
    <row r="78" spans="1:55" s="65" customFormat="1" ht="18" customHeight="1" thickBot="1">
      <c r="A78" s="84" t="s">
        <v>381</v>
      </c>
      <c r="B78" s="229" t="s">
        <v>506</v>
      </c>
      <c r="C78" s="85"/>
      <c r="D78" s="85"/>
      <c r="E78" s="85"/>
      <c r="F78" s="85">
        <f>F77*100/F76</f>
        <v>122.29597137250376</v>
      </c>
      <c r="G78" s="85"/>
      <c r="H78" s="85"/>
      <c r="I78" s="85">
        <f aca="true" t="shared" si="7" ref="I78:O78">I77*100/I76</f>
        <v>97.60595828711435</v>
      </c>
      <c r="J78" s="85">
        <f t="shared" si="7"/>
        <v>70.89375469408978</v>
      </c>
      <c r="K78" s="85"/>
      <c r="L78" s="85"/>
      <c r="M78" s="85"/>
      <c r="N78" s="85">
        <f t="shared" si="7"/>
        <v>92.26415094339623</v>
      </c>
      <c r="O78" s="85">
        <f t="shared" si="7"/>
        <v>97.28673572123343</v>
      </c>
      <c r="P78" s="306"/>
      <c r="Q78" s="305"/>
      <c r="R78" s="305"/>
      <c r="S78" s="305"/>
      <c r="T78" s="305"/>
      <c r="U78" s="306"/>
      <c r="V78" s="306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</row>
    <row r="79" spans="1:55" ht="18" customHeight="1">
      <c r="A79" s="81" t="s">
        <v>349</v>
      </c>
      <c r="B79" s="228" t="s">
        <v>430</v>
      </c>
      <c r="C79" s="82"/>
      <c r="D79" s="82"/>
      <c r="E79" s="82"/>
      <c r="F79" s="82">
        <v>3928</v>
      </c>
      <c r="G79" s="82">
        <v>144</v>
      </c>
      <c r="H79" s="82"/>
      <c r="I79" s="82">
        <v>958</v>
      </c>
      <c r="J79" s="82">
        <v>96</v>
      </c>
      <c r="K79" s="82"/>
      <c r="L79" s="82"/>
      <c r="M79" s="82"/>
      <c r="N79" s="82">
        <v>106</v>
      </c>
      <c r="O79" s="82">
        <v>5232</v>
      </c>
      <c r="P79" s="62"/>
      <c r="Q79" s="62"/>
      <c r="R79" s="62"/>
      <c r="S79" s="62"/>
      <c r="T79" s="62"/>
      <c r="U79" s="64"/>
      <c r="V79" s="64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</row>
    <row r="80" spans="1:55" ht="18" customHeight="1">
      <c r="A80" s="81" t="s">
        <v>350</v>
      </c>
      <c r="B80" s="228" t="s">
        <v>505</v>
      </c>
      <c r="C80" s="82"/>
      <c r="D80" s="82"/>
      <c r="E80" s="82"/>
      <c r="F80" s="82">
        <v>5143</v>
      </c>
      <c r="G80" s="82">
        <v>37</v>
      </c>
      <c r="H80" s="82"/>
      <c r="I80" s="82">
        <v>370</v>
      </c>
      <c r="J80" s="82">
        <v>65</v>
      </c>
      <c r="K80" s="82"/>
      <c r="L80" s="82"/>
      <c r="M80" s="82"/>
      <c r="N80" s="82">
        <v>105</v>
      </c>
      <c r="O80" s="82">
        <f>SUM(F80:N80)</f>
        <v>5720</v>
      </c>
      <c r="P80" s="62"/>
      <c r="Q80" s="62"/>
      <c r="R80" s="62"/>
      <c r="S80" s="62"/>
      <c r="T80" s="62"/>
      <c r="U80" s="64"/>
      <c r="V80" s="64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</row>
    <row r="81" spans="1:55" ht="18" customHeight="1" thickBot="1">
      <c r="A81" s="84" t="s">
        <v>221</v>
      </c>
      <c r="B81" s="229" t="s">
        <v>506</v>
      </c>
      <c r="C81" s="85"/>
      <c r="D81" s="85"/>
      <c r="E81" s="85"/>
      <c r="F81" s="85">
        <f>F80*100/F79</f>
        <v>130.93177189409369</v>
      </c>
      <c r="G81" s="85">
        <f aca="true" t="shared" si="8" ref="G81:O81">G80*100/G79</f>
        <v>25.694444444444443</v>
      </c>
      <c r="H81" s="85"/>
      <c r="I81" s="85">
        <f t="shared" si="8"/>
        <v>38.62212943632568</v>
      </c>
      <c r="J81" s="85">
        <f t="shared" si="8"/>
        <v>67.70833333333333</v>
      </c>
      <c r="K81" s="85"/>
      <c r="L81" s="85"/>
      <c r="M81" s="85"/>
      <c r="N81" s="85">
        <f t="shared" si="8"/>
        <v>99.05660377358491</v>
      </c>
      <c r="O81" s="85">
        <f t="shared" si="8"/>
        <v>109.32721712538226</v>
      </c>
      <c r="P81" s="62"/>
      <c r="Q81" s="62"/>
      <c r="R81" s="62"/>
      <c r="S81" s="62"/>
      <c r="T81" s="62"/>
      <c r="U81" s="64"/>
      <c r="V81" s="64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</row>
    <row r="82" spans="1:55" ht="18" customHeight="1">
      <c r="A82" s="81" t="s">
        <v>404</v>
      </c>
      <c r="B82" s="228" t="s">
        <v>430</v>
      </c>
      <c r="C82" s="87"/>
      <c r="D82" s="87"/>
      <c r="E82" s="87"/>
      <c r="F82" s="87">
        <v>271120</v>
      </c>
      <c r="G82" s="87"/>
      <c r="H82" s="87"/>
      <c r="I82" s="87">
        <v>55052</v>
      </c>
      <c r="J82" s="87">
        <v>32965</v>
      </c>
      <c r="K82" s="87"/>
      <c r="L82" s="87"/>
      <c r="M82" s="87"/>
      <c r="N82" s="87"/>
      <c r="O82" s="87">
        <v>359137</v>
      </c>
      <c r="P82" s="62"/>
      <c r="Q82" s="62"/>
      <c r="R82" s="62"/>
      <c r="S82" s="62"/>
      <c r="T82" s="62"/>
      <c r="U82" s="64"/>
      <c r="V82" s="64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</row>
    <row r="83" spans="1:55" ht="18" customHeight="1">
      <c r="A83" s="81" t="s">
        <v>54</v>
      </c>
      <c r="B83" s="228" t="s">
        <v>505</v>
      </c>
      <c r="C83" s="82"/>
      <c r="D83" s="82"/>
      <c r="E83" s="82"/>
      <c r="F83" s="82">
        <v>285900</v>
      </c>
      <c r="G83" s="82">
        <v>63</v>
      </c>
      <c r="H83" s="82"/>
      <c r="I83" s="82">
        <v>63475</v>
      </c>
      <c r="J83" s="82">
        <v>36089</v>
      </c>
      <c r="K83" s="82"/>
      <c r="L83" s="82"/>
      <c r="M83" s="82"/>
      <c r="N83" s="82"/>
      <c r="O83" s="82">
        <f>SUM(F83:J83)</f>
        <v>385527</v>
      </c>
      <c r="P83" s="64"/>
      <c r="Q83" s="62"/>
      <c r="R83" s="62"/>
      <c r="S83" s="62"/>
      <c r="T83" s="62"/>
      <c r="U83" s="64"/>
      <c r="V83" s="64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</row>
    <row r="84" spans="1:55" ht="18" customHeight="1" thickBot="1">
      <c r="A84" s="84" t="s">
        <v>405</v>
      </c>
      <c r="B84" s="229" t="s">
        <v>506</v>
      </c>
      <c r="C84" s="85"/>
      <c r="D84" s="85"/>
      <c r="E84" s="85"/>
      <c r="F84" s="85">
        <f>F83*100/F82</f>
        <v>105.45146060784893</v>
      </c>
      <c r="G84" s="85"/>
      <c r="H84" s="85"/>
      <c r="I84" s="85">
        <f>I83*100/I82</f>
        <v>115.30007992443508</v>
      </c>
      <c r="J84" s="85">
        <f>J83*100/J82</f>
        <v>109.47671773092674</v>
      </c>
      <c r="K84" s="85"/>
      <c r="L84" s="85"/>
      <c r="M84" s="85"/>
      <c r="N84" s="85"/>
      <c r="O84" s="85">
        <f>O83*100/O82</f>
        <v>107.3481707537792</v>
      </c>
      <c r="P84" s="62"/>
      <c r="Q84" s="62"/>
      <c r="R84" s="62"/>
      <c r="S84" s="62"/>
      <c r="T84" s="62"/>
      <c r="U84" s="64"/>
      <c r="V84" s="64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</row>
    <row r="85" spans="1:55" ht="18" customHeight="1">
      <c r="A85" s="81" t="s">
        <v>406</v>
      </c>
      <c r="B85" s="228" t="s">
        <v>430</v>
      </c>
      <c r="C85" s="96"/>
      <c r="D85" s="96"/>
      <c r="E85" s="96"/>
      <c r="F85" s="96"/>
      <c r="G85" s="96"/>
      <c r="H85" s="96"/>
      <c r="I85" s="96"/>
      <c r="J85" s="96">
        <v>1325</v>
      </c>
      <c r="K85" s="96"/>
      <c r="L85" s="96"/>
      <c r="M85" s="96"/>
      <c r="N85" s="97"/>
      <c r="O85" s="96">
        <v>1325</v>
      </c>
      <c r="P85" s="62"/>
      <c r="Q85" s="62"/>
      <c r="R85" s="62"/>
      <c r="S85" s="62"/>
      <c r="T85" s="62"/>
      <c r="U85" s="64"/>
      <c r="V85" s="64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</row>
    <row r="86" spans="1:55" ht="18" customHeight="1">
      <c r="A86" s="81" t="s">
        <v>407</v>
      </c>
      <c r="B86" s="228" t="s">
        <v>505</v>
      </c>
      <c r="C86" s="82"/>
      <c r="D86" s="82"/>
      <c r="E86" s="82"/>
      <c r="F86" s="82"/>
      <c r="G86" s="82"/>
      <c r="H86" s="82"/>
      <c r="I86" s="82"/>
      <c r="J86" s="82">
        <v>1289</v>
      </c>
      <c r="K86" s="82"/>
      <c r="L86" s="82"/>
      <c r="M86" s="82"/>
      <c r="N86" s="82"/>
      <c r="O86" s="82">
        <v>1289</v>
      </c>
      <c r="P86" s="62"/>
      <c r="Q86" s="62"/>
      <c r="R86" s="62"/>
      <c r="S86" s="62"/>
      <c r="T86" s="62"/>
      <c r="U86" s="64"/>
      <c r="V86" s="64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</row>
    <row r="87" spans="1:55" ht="18" customHeight="1" thickBot="1">
      <c r="A87" s="84" t="s">
        <v>405</v>
      </c>
      <c r="B87" s="229" t="s">
        <v>506</v>
      </c>
      <c r="C87" s="85"/>
      <c r="D87" s="85"/>
      <c r="E87" s="85"/>
      <c r="F87" s="85"/>
      <c r="G87" s="85"/>
      <c r="H87" s="85"/>
      <c r="I87" s="85"/>
      <c r="J87" s="85">
        <f>J86*100/J85</f>
        <v>97.28301886792453</v>
      </c>
      <c r="K87" s="85"/>
      <c r="L87" s="85"/>
      <c r="M87" s="85"/>
      <c r="N87" s="85"/>
      <c r="O87" s="85">
        <v>97</v>
      </c>
      <c r="P87" s="62"/>
      <c r="Q87" s="62"/>
      <c r="R87" s="62"/>
      <c r="S87" s="62"/>
      <c r="T87" s="62"/>
      <c r="U87" s="64"/>
      <c r="V87" s="64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</row>
    <row r="88" spans="1:55" ht="18" customHeight="1">
      <c r="A88" s="90" t="s">
        <v>413</v>
      </c>
      <c r="B88" s="228" t="s">
        <v>430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9">
        <v>187108</v>
      </c>
      <c r="O88" s="98">
        <v>187108</v>
      </c>
      <c r="P88" s="62"/>
      <c r="Q88" s="62"/>
      <c r="R88" s="62"/>
      <c r="S88" s="62"/>
      <c r="T88" s="62"/>
      <c r="U88" s="64"/>
      <c r="V88" s="64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</row>
    <row r="89" spans="1:55" ht="18" customHeight="1">
      <c r="A89" s="81" t="s">
        <v>414</v>
      </c>
      <c r="B89" s="228" t="s">
        <v>505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>
        <f>35756+133145</f>
        <v>168901</v>
      </c>
      <c r="O89" s="87">
        <f>SUM(N89)</f>
        <v>168901</v>
      </c>
      <c r="P89" s="62"/>
      <c r="Q89" s="62"/>
      <c r="R89" s="62"/>
      <c r="S89" s="62"/>
      <c r="T89" s="62"/>
      <c r="U89" s="64"/>
      <c r="V89" s="64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</row>
    <row r="90" spans="1:55" s="101" customFormat="1" ht="18" customHeight="1" thickBot="1">
      <c r="A90" s="102" t="s">
        <v>281</v>
      </c>
      <c r="B90" s="229" t="s">
        <v>506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310">
        <f>N89*100/N88</f>
        <v>90.2692562584176</v>
      </c>
      <c r="O90" s="310">
        <f>O89*100/O88</f>
        <v>90.2692562584176</v>
      </c>
      <c r="P90" s="62"/>
      <c r="Q90" s="62"/>
      <c r="R90" s="62"/>
      <c r="S90" s="62"/>
      <c r="T90" s="62"/>
      <c r="U90" s="64"/>
      <c r="V90" s="64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</row>
    <row r="91" spans="1:55" ht="18" customHeight="1" thickTop="1">
      <c r="A91" s="81" t="s">
        <v>411</v>
      </c>
      <c r="B91" s="228" t="s">
        <v>430</v>
      </c>
      <c r="C91" s="87">
        <v>98</v>
      </c>
      <c r="D91" s="87">
        <v>34</v>
      </c>
      <c r="E91" s="87"/>
      <c r="F91" s="87">
        <v>144</v>
      </c>
      <c r="G91" s="87">
        <v>68</v>
      </c>
      <c r="H91" s="87">
        <v>3</v>
      </c>
      <c r="I91" s="87">
        <v>96</v>
      </c>
      <c r="J91" s="87">
        <v>33</v>
      </c>
      <c r="K91" s="87">
        <v>2</v>
      </c>
      <c r="L91" s="87"/>
      <c r="M91" s="87"/>
      <c r="N91" s="87"/>
      <c r="O91" s="87">
        <f>SUM(C91:K91)</f>
        <v>478</v>
      </c>
      <c r="P91" s="62"/>
      <c r="Q91" s="62"/>
      <c r="R91" s="62"/>
      <c r="S91" s="62"/>
      <c r="T91" s="62"/>
      <c r="U91" s="64"/>
      <c r="V91" s="64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</row>
    <row r="92" spans="1:55" ht="18" customHeight="1">
      <c r="A92" s="81" t="s">
        <v>412</v>
      </c>
      <c r="B92" s="228" t="s">
        <v>505</v>
      </c>
      <c r="C92" s="82">
        <v>84</v>
      </c>
      <c r="D92" s="82">
        <v>29</v>
      </c>
      <c r="E92" s="82"/>
      <c r="F92" s="82">
        <f>55+8</f>
        <v>63</v>
      </c>
      <c r="G92" s="82">
        <v>3</v>
      </c>
      <c r="H92" s="82">
        <v>0</v>
      </c>
      <c r="I92" s="82">
        <v>1</v>
      </c>
      <c r="J92" s="82">
        <f>57-44</f>
        <v>13</v>
      </c>
      <c r="K92" s="82"/>
      <c r="L92" s="82"/>
      <c r="M92" s="82"/>
      <c r="N92" s="82"/>
      <c r="O92" s="82">
        <f>SUM(C92:J92)</f>
        <v>193</v>
      </c>
      <c r="P92" s="62"/>
      <c r="Q92" s="62"/>
      <c r="R92" s="62"/>
      <c r="S92" s="62"/>
      <c r="T92" s="62"/>
      <c r="U92" s="64"/>
      <c r="V92" s="64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</row>
    <row r="93" spans="1:55" ht="18" customHeight="1" thickBot="1">
      <c r="A93" s="84" t="s">
        <v>225</v>
      </c>
      <c r="B93" s="229" t="s">
        <v>506</v>
      </c>
      <c r="C93" s="85">
        <f>C92*100/C91</f>
        <v>85.71428571428571</v>
      </c>
      <c r="D93" s="85">
        <f aca="true" t="shared" si="9" ref="D93:O93">D92*100/D91</f>
        <v>85.29411764705883</v>
      </c>
      <c r="E93" s="85"/>
      <c r="F93" s="85">
        <f t="shared" si="9"/>
        <v>43.75</v>
      </c>
      <c r="G93" s="85">
        <f t="shared" si="9"/>
        <v>4.411764705882353</v>
      </c>
      <c r="H93" s="85">
        <f t="shared" si="9"/>
        <v>0</v>
      </c>
      <c r="I93" s="85">
        <f t="shared" si="9"/>
        <v>1.0416666666666667</v>
      </c>
      <c r="J93" s="85">
        <f t="shared" si="9"/>
        <v>39.39393939393939</v>
      </c>
      <c r="K93" s="85">
        <f t="shared" si="9"/>
        <v>0</v>
      </c>
      <c r="L93" s="85"/>
      <c r="M93" s="85"/>
      <c r="N93" s="85"/>
      <c r="O93" s="85">
        <f t="shared" si="9"/>
        <v>40.37656903765691</v>
      </c>
      <c r="P93" s="62"/>
      <c r="Q93" s="62"/>
      <c r="R93" s="62"/>
      <c r="S93" s="62"/>
      <c r="T93" s="62"/>
      <c r="U93" s="64"/>
      <c r="V93" s="64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</row>
    <row r="94" spans="1:55" ht="18" customHeight="1">
      <c r="A94" s="81" t="s">
        <v>375</v>
      </c>
      <c r="B94" s="228" t="s">
        <v>430</v>
      </c>
      <c r="C94" s="96"/>
      <c r="D94" s="96"/>
      <c r="E94" s="96"/>
      <c r="F94" s="96">
        <v>8000</v>
      </c>
      <c r="G94" s="96"/>
      <c r="H94" s="96"/>
      <c r="I94" s="96"/>
      <c r="J94" s="96"/>
      <c r="K94" s="96">
        <v>51500</v>
      </c>
      <c r="L94" s="96"/>
      <c r="M94" s="96"/>
      <c r="N94" s="97"/>
      <c r="O94" s="96">
        <v>59500</v>
      </c>
      <c r="P94" s="62"/>
      <c r="Q94" s="62"/>
      <c r="R94" s="62"/>
      <c r="S94" s="62"/>
      <c r="T94" s="62"/>
      <c r="U94" s="64"/>
      <c r="V94" s="64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</row>
    <row r="95" spans="1:55" ht="18" customHeight="1">
      <c r="A95" s="81" t="s">
        <v>376</v>
      </c>
      <c r="B95" s="228" t="s">
        <v>505</v>
      </c>
      <c r="C95" s="96"/>
      <c r="D95" s="96"/>
      <c r="E95" s="96"/>
      <c r="F95" s="96">
        <f>941+8795</f>
        <v>9736</v>
      </c>
      <c r="G95" s="96"/>
      <c r="H95" s="96"/>
      <c r="I95" s="96"/>
      <c r="J95" s="96">
        <v>44</v>
      </c>
      <c r="K95" s="96">
        <v>51500</v>
      </c>
      <c r="L95" s="96"/>
      <c r="M95" s="96"/>
      <c r="N95" s="97"/>
      <c r="O95" s="96">
        <f>SUM(F95:K95)</f>
        <v>61280</v>
      </c>
      <c r="P95" s="62"/>
      <c r="Q95" s="62"/>
      <c r="R95" s="62"/>
      <c r="S95" s="62"/>
      <c r="T95" s="62"/>
      <c r="U95" s="64"/>
      <c r="V95" s="64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</row>
    <row r="96" spans="1:55" ht="18" customHeight="1" thickBot="1">
      <c r="A96" s="93" t="s">
        <v>225</v>
      </c>
      <c r="B96" s="229" t="s">
        <v>506</v>
      </c>
      <c r="C96" s="85"/>
      <c r="D96" s="85"/>
      <c r="E96" s="85"/>
      <c r="F96" s="85">
        <f>F95*100/F94</f>
        <v>121.7</v>
      </c>
      <c r="G96" s="85"/>
      <c r="H96" s="85"/>
      <c r="I96" s="85"/>
      <c r="J96" s="85"/>
      <c r="K96" s="85">
        <f>K95*100/K94</f>
        <v>100</v>
      </c>
      <c r="L96" s="85"/>
      <c r="M96" s="85"/>
      <c r="N96" s="85"/>
      <c r="O96" s="85">
        <f>O95*100/O94</f>
        <v>102.99159663865547</v>
      </c>
      <c r="P96" s="62"/>
      <c r="Q96" s="62"/>
      <c r="R96" s="62"/>
      <c r="S96" s="62"/>
      <c r="T96" s="62"/>
      <c r="U96" s="64"/>
      <c r="V96" s="64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</row>
    <row r="97" spans="1:55" ht="18" customHeight="1">
      <c r="A97" s="915"/>
      <c r="B97" s="916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62"/>
      <c r="Q97" s="62"/>
      <c r="R97" s="62"/>
      <c r="S97" s="62"/>
      <c r="T97" s="62"/>
      <c r="U97" s="64"/>
      <c r="V97" s="64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</row>
    <row r="98" spans="1:15" ht="18" customHeight="1">
      <c r="A98" s="158"/>
      <c r="B98" s="224"/>
      <c r="C98" s="159"/>
      <c r="D98" s="159"/>
      <c r="E98" s="159"/>
      <c r="F98" s="159"/>
      <c r="G98" s="71"/>
      <c r="H98" s="71"/>
      <c r="I98" s="71"/>
      <c r="J98" s="71"/>
      <c r="K98" s="71"/>
      <c r="L98" s="71"/>
      <c r="M98" s="71"/>
      <c r="N98" s="71"/>
      <c r="O98" s="72" t="s">
        <v>400</v>
      </c>
    </row>
    <row r="99" spans="1:15" ht="24" thickBot="1">
      <c r="A99" s="158" t="s">
        <v>493</v>
      </c>
      <c r="B99" s="224"/>
      <c r="C99" s="159"/>
      <c r="D99" s="159"/>
      <c r="E99" s="159"/>
      <c r="F99" s="159"/>
      <c r="G99" s="71"/>
      <c r="H99" s="71"/>
      <c r="I99" s="71"/>
      <c r="J99" s="71"/>
      <c r="K99" s="71"/>
      <c r="L99" s="71"/>
      <c r="M99" s="71"/>
      <c r="N99" s="71"/>
      <c r="O99" s="72" t="s">
        <v>497</v>
      </c>
    </row>
    <row r="100" spans="1:15" ht="15.75">
      <c r="A100" s="74"/>
      <c r="B100" s="225"/>
      <c r="C100" s="75" t="s">
        <v>317</v>
      </c>
      <c r="D100" s="75" t="s">
        <v>318</v>
      </c>
      <c r="E100" s="75" t="s">
        <v>319</v>
      </c>
      <c r="F100" s="75" t="s">
        <v>320</v>
      </c>
      <c r="G100" s="75" t="s">
        <v>321</v>
      </c>
      <c r="H100" s="75" t="s">
        <v>322</v>
      </c>
      <c r="I100" s="75" t="s">
        <v>323</v>
      </c>
      <c r="J100" s="75" t="s">
        <v>324</v>
      </c>
      <c r="K100" s="75" t="s">
        <v>325</v>
      </c>
      <c r="L100" s="75" t="s">
        <v>326</v>
      </c>
      <c r="M100" s="75" t="s">
        <v>327</v>
      </c>
      <c r="N100" s="75" t="s">
        <v>449</v>
      </c>
      <c r="O100" s="75" t="s">
        <v>27</v>
      </c>
    </row>
    <row r="101" spans="1:15" ht="15.75">
      <c r="A101" s="76" t="s">
        <v>3</v>
      </c>
      <c r="B101" s="226"/>
      <c r="C101" s="77"/>
      <c r="D101" s="77" t="s">
        <v>328</v>
      </c>
      <c r="E101" s="77" t="s">
        <v>329</v>
      </c>
      <c r="F101" s="77" t="s">
        <v>330</v>
      </c>
      <c r="G101" s="77" t="s">
        <v>331</v>
      </c>
      <c r="H101" s="77" t="s">
        <v>332</v>
      </c>
      <c r="I101" s="77" t="s">
        <v>333</v>
      </c>
      <c r="J101" s="77" t="s">
        <v>334</v>
      </c>
      <c r="K101" s="77" t="s">
        <v>335</v>
      </c>
      <c r="L101" s="77" t="s">
        <v>336</v>
      </c>
      <c r="M101" s="77" t="s">
        <v>337</v>
      </c>
      <c r="N101" s="77" t="s">
        <v>450</v>
      </c>
      <c r="O101" s="77" t="s">
        <v>107</v>
      </c>
    </row>
    <row r="102" spans="1:15" ht="15.75">
      <c r="A102" s="76"/>
      <c r="B102" s="226"/>
      <c r="C102" s="77"/>
      <c r="D102" s="77" t="s">
        <v>338</v>
      </c>
      <c r="E102" s="77" t="s">
        <v>339</v>
      </c>
      <c r="F102" s="77" t="s">
        <v>340</v>
      </c>
      <c r="G102" s="77" t="s">
        <v>341</v>
      </c>
      <c r="H102" s="77"/>
      <c r="I102" s="77" t="s">
        <v>342</v>
      </c>
      <c r="J102" s="77" t="s">
        <v>343</v>
      </c>
      <c r="K102" s="77"/>
      <c r="L102" s="77"/>
      <c r="M102" s="77"/>
      <c r="N102" s="77"/>
      <c r="O102" s="77"/>
    </row>
    <row r="103" spans="1:55" s="80" customFormat="1" ht="16.5" thickBot="1">
      <c r="A103" s="78"/>
      <c r="B103" s="227"/>
      <c r="C103" s="79"/>
      <c r="D103" s="79"/>
      <c r="E103" s="79"/>
      <c r="F103" s="79"/>
      <c r="G103" s="79"/>
      <c r="H103" s="79"/>
      <c r="I103" s="79" t="s">
        <v>344</v>
      </c>
      <c r="J103" s="79" t="s">
        <v>345</v>
      </c>
      <c r="K103" s="79"/>
      <c r="L103" s="79"/>
      <c r="M103" s="79"/>
      <c r="N103" s="79"/>
      <c r="O103" s="79"/>
      <c r="P103" s="116"/>
      <c r="Q103" s="116"/>
      <c r="R103" s="116"/>
      <c r="S103" s="116"/>
      <c r="T103" s="116"/>
      <c r="U103" s="117"/>
      <c r="V103" s="117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</row>
    <row r="104" spans="1:55" ht="18" customHeight="1" thickTop="1">
      <c r="A104" s="81" t="s">
        <v>351</v>
      </c>
      <c r="B104" s="228" t="s">
        <v>430</v>
      </c>
      <c r="C104" s="82"/>
      <c r="D104" s="82"/>
      <c r="E104" s="82"/>
      <c r="F104" s="82"/>
      <c r="G104" s="82"/>
      <c r="H104" s="82"/>
      <c r="I104" s="82"/>
      <c r="J104" s="82"/>
      <c r="K104" s="82">
        <v>14550</v>
      </c>
      <c r="L104" s="82"/>
      <c r="M104" s="82"/>
      <c r="N104" s="82">
        <v>200</v>
      </c>
      <c r="O104" s="82">
        <v>14750</v>
      </c>
      <c r="P104" s="62"/>
      <c r="Q104" s="62"/>
      <c r="R104" s="62"/>
      <c r="S104" s="62"/>
      <c r="T104" s="62"/>
      <c r="U104" s="64"/>
      <c r="V104" s="64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</row>
    <row r="105" spans="1:55" ht="18" customHeight="1">
      <c r="A105" s="81" t="s">
        <v>371</v>
      </c>
      <c r="B105" s="228" t="s">
        <v>505</v>
      </c>
      <c r="C105" s="82"/>
      <c r="D105" s="82"/>
      <c r="E105" s="82"/>
      <c r="F105" s="82"/>
      <c r="G105" s="82"/>
      <c r="H105" s="82"/>
      <c r="I105" s="82"/>
      <c r="J105" s="82"/>
      <c r="K105" s="82">
        <v>9000</v>
      </c>
      <c r="L105" s="82"/>
      <c r="M105" s="82"/>
      <c r="N105" s="82">
        <v>65</v>
      </c>
      <c r="O105" s="82">
        <f>SUM(K105:N105)</f>
        <v>9065</v>
      </c>
      <c r="P105" s="62"/>
      <c r="Q105" s="62"/>
      <c r="R105" s="62"/>
      <c r="S105" s="62"/>
      <c r="T105" s="62"/>
      <c r="U105" s="64"/>
      <c r="V105" s="64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</row>
    <row r="106" spans="1:55" ht="18" customHeight="1" thickBot="1">
      <c r="A106" s="93" t="s">
        <v>225</v>
      </c>
      <c r="B106" s="229" t="s">
        <v>506</v>
      </c>
      <c r="C106" s="85"/>
      <c r="D106" s="85"/>
      <c r="E106" s="85"/>
      <c r="F106" s="85"/>
      <c r="G106" s="85"/>
      <c r="H106" s="85"/>
      <c r="I106" s="85"/>
      <c r="J106" s="85"/>
      <c r="K106" s="85">
        <f>K105*100/K104</f>
        <v>61.855670103092784</v>
      </c>
      <c r="L106" s="85"/>
      <c r="M106" s="85"/>
      <c r="N106" s="85">
        <f>N105*100/N104</f>
        <v>32.5</v>
      </c>
      <c r="O106" s="85">
        <f>O105*100/O104</f>
        <v>61.45762711864407</v>
      </c>
      <c r="P106" s="62"/>
      <c r="Q106" s="62"/>
      <c r="R106" s="62"/>
      <c r="S106" s="62"/>
      <c r="T106" s="62"/>
      <c r="U106" s="64"/>
      <c r="V106" s="64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</row>
    <row r="107" spans="1:55" ht="18" customHeight="1">
      <c r="A107" s="81" t="s">
        <v>372</v>
      </c>
      <c r="B107" s="228" t="s">
        <v>430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62"/>
      <c r="Q107" s="62"/>
      <c r="R107" s="62"/>
      <c r="S107" s="62"/>
      <c r="T107" s="62"/>
      <c r="U107" s="64"/>
      <c r="V107" s="64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</row>
    <row r="108" spans="1:55" ht="18" customHeight="1">
      <c r="A108" s="81"/>
      <c r="B108" s="228" t="s">
        <v>505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62"/>
      <c r="Q108" s="62"/>
      <c r="R108" s="62"/>
      <c r="S108" s="62"/>
      <c r="T108" s="62"/>
      <c r="U108" s="64"/>
      <c r="V108" s="64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</row>
    <row r="109" spans="1:55" ht="18" customHeight="1" thickBot="1">
      <c r="A109" s="93" t="s">
        <v>225</v>
      </c>
      <c r="B109" s="229" t="s">
        <v>506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62"/>
      <c r="Q109" s="62"/>
      <c r="R109" s="62"/>
      <c r="S109" s="62"/>
      <c r="T109" s="62"/>
      <c r="U109" s="64"/>
      <c r="V109" s="64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</row>
    <row r="110" spans="1:55" ht="18" customHeight="1">
      <c r="A110" s="81" t="s">
        <v>377</v>
      </c>
      <c r="B110" s="228" t="s">
        <v>430</v>
      </c>
      <c r="C110" s="82"/>
      <c r="D110" s="82"/>
      <c r="E110" s="82"/>
      <c r="F110" s="82"/>
      <c r="G110" s="82"/>
      <c r="H110" s="82"/>
      <c r="I110" s="82"/>
      <c r="J110" s="82"/>
      <c r="K110" s="82">
        <v>1700</v>
      </c>
      <c r="L110" s="82"/>
      <c r="M110" s="82"/>
      <c r="N110" s="82">
        <v>48705</v>
      </c>
      <c r="O110" s="82">
        <v>50405</v>
      </c>
      <c r="P110" s="62"/>
      <c r="Q110" s="62"/>
      <c r="R110" s="62"/>
      <c r="S110" s="62"/>
      <c r="T110" s="62"/>
      <c r="U110" s="64"/>
      <c r="V110" s="64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</row>
    <row r="111" spans="1:55" ht="18" customHeight="1">
      <c r="A111" s="81" t="s">
        <v>378</v>
      </c>
      <c r="B111" s="228" t="s">
        <v>505</v>
      </c>
      <c r="C111" s="82"/>
      <c r="D111" s="82"/>
      <c r="E111" s="82"/>
      <c r="F111" s="82"/>
      <c r="G111" s="82"/>
      <c r="H111" s="82"/>
      <c r="I111" s="82"/>
      <c r="J111" s="82"/>
      <c r="K111" s="82">
        <f>2484+300</f>
        <v>2784</v>
      </c>
      <c r="L111" s="82"/>
      <c r="M111" s="82"/>
      <c r="N111" s="82">
        <f>20767+242</f>
        <v>21009</v>
      </c>
      <c r="O111" s="82">
        <f>SUM(K111:N111)</f>
        <v>23793</v>
      </c>
      <c r="P111" s="62"/>
      <c r="Q111" s="62"/>
      <c r="R111" s="62"/>
      <c r="S111" s="62"/>
      <c r="T111" s="62"/>
      <c r="U111" s="64"/>
      <c r="V111" s="64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</row>
    <row r="112" spans="1:55" ht="18" customHeight="1" thickBot="1">
      <c r="A112" s="93" t="s">
        <v>225</v>
      </c>
      <c r="B112" s="229" t="s">
        <v>506</v>
      </c>
      <c r="C112" s="85"/>
      <c r="D112" s="85"/>
      <c r="E112" s="85"/>
      <c r="F112" s="85"/>
      <c r="G112" s="85"/>
      <c r="H112" s="85"/>
      <c r="I112" s="85"/>
      <c r="J112" s="85"/>
      <c r="K112" s="85">
        <f>K111*100/K110</f>
        <v>163.76470588235293</v>
      </c>
      <c r="L112" s="85"/>
      <c r="M112" s="85"/>
      <c r="N112" s="85">
        <f>N111*100/N110</f>
        <v>43.135201724668924</v>
      </c>
      <c r="O112" s="85">
        <f>O111*100/O110</f>
        <v>47.20365043150481</v>
      </c>
      <c r="P112" s="62"/>
      <c r="Q112" s="62"/>
      <c r="R112" s="62"/>
      <c r="S112" s="62"/>
      <c r="T112" s="62"/>
      <c r="U112" s="64"/>
      <c r="V112" s="64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</row>
    <row r="113" spans="1:55" ht="18" customHeight="1">
      <c r="A113" s="81" t="s">
        <v>380</v>
      </c>
      <c r="B113" s="228" t="s">
        <v>430</v>
      </c>
      <c r="C113" s="82"/>
      <c r="D113" s="82"/>
      <c r="E113" s="82"/>
      <c r="F113" s="82"/>
      <c r="G113" s="82"/>
      <c r="H113" s="82"/>
      <c r="I113" s="82"/>
      <c r="J113" s="82">
        <v>2000</v>
      </c>
      <c r="K113" s="82">
        <v>1437</v>
      </c>
      <c r="L113" s="82"/>
      <c r="M113" s="82"/>
      <c r="N113" s="82">
        <v>35937</v>
      </c>
      <c r="O113" s="82">
        <v>39374</v>
      </c>
      <c r="P113" s="62"/>
      <c r="Q113" s="62"/>
      <c r="R113" s="62"/>
      <c r="S113" s="62"/>
      <c r="T113" s="62"/>
      <c r="U113" s="64"/>
      <c r="V113" s="64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</row>
    <row r="114" spans="1:55" ht="18" customHeight="1">
      <c r="A114" s="81" t="s">
        <v>381</v>
      </c>
      <c r="B114" s="228" t="s">
        <v>505</v>
      </c>
      <c r="C114" s="82"/>
      <c r="D114" s="82"/>
      <c r="E114" s="82"/>
      <c r="F114" s="82"/>
      <c r="G114" s="82"/>
      <c r="H114" s="82"/>
      <c r="I114" s="82"/>
      <c r="J114" s="82">
        <v>2400</v>
      </c>
      <c r="K114" s="82">
        <f>1403+19</f>
        <v>1422</v>
      </c>
      <c r="L114" s="82"/>
      <c r="M114" s="82"/>
      <c r="N114" s="82">
        <f>728+5693+105+1795+14784+30</f>
        <v>23135</v>
      </c>
      <c r="O114" s="82">
        <f>SUM(J114:N114)</f>
        <v>26957</v>
      </c>
      <c r="P114" s="62"/>
      <c r="Q114" s="62"/>
      <c r="R114" s="62"/>
      <c r="S114" s="62"/>
      <c r="T114" s="62"/>
      <c r="U114" s="64"/>
      <c r="V114" s="64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</row>
    <row r="115" spans="1:55" ht="18" customHeight="1" thickBot="1">
      <c r="A115" s="93" t="s">
        <v>382</v>
      </c>
      <c r="B115" s="229" t="s">
        <v>506</v>
      </c>
      <c r="C115" s="85"/>
      <c r="D115" s="85"/>
      <c r="E115" s="85"/>
      <c r="F115" s="85"/>
      <c r="G115" s="85"/>
      <c r="H115" s="85"/>
      <c r="I115" s="85"/>
      <c r="J115" s="85">
        <f>J114*100/J113</f>
        <v>120</v>
      </c>
      <c r="K115" s="85">
        <f>K114*100/K113</f>
        <v>98.95615866388309</v>
      </c>
      <c r="L115" s="85"/>
      <c r="M115" s="85"/>
      <c r="N115" s="85">
        <f>N114*100/N113</f>
        <v>64.37654784762223</v>
      </c>
      <c r="O115" s="85">
        <f>O114*100/O113</f>
        <v>68.46396098948544</v>
      </c>
      <c r="P115" s="62"/>
      <c r="Q115" s="62"/>
      <c r="R115" s="62"/>
      <c r="S115" s="62"/>
      <c r="T115" s="62"/>
      <c r="U115" s="64"/>
      <c r="V115" s="64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</row>
    <row r="116" spans="1:55" ht="18" customHeight="1">
      <c r="A116" s="81" t="s">
        <v>383</v>
      </c>
      <c r="B116" s="228" t="s">
        <v>430</v>
      </c>
      <c r="C116" s="82"/>
      <c r="D116" s="82"/>
      <c r="E116" s="82"/>
      <c r="F116" s="82"/>
      <c r="G116" s="82"/>
      <c r="H116" s="82"/>
      <c r="I116" s="82"/>
      <c r="J116" s="82"/>
      <c r="K116" s="82">
        <v>13477</v>
      </c>
      <c r="L116" s="82"/>
      <c r="M116" s="82"/>
      <c r="N116" s="82">
        <v>1500</v>
      </c>
      <c r="O116" s="82">
        <v>14977</v>
      </c>
      <c r="P116" s="62"/>
      <c r="Q116" s="62"/>
      <c r="R116" s="62"/>
      <c r="S116" s="62"/>
      <c r="T116" s="62"/>
      <c r="U116" s="64"/>
      <c r="V116" s="64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</row>
    <row r="117" spans="1:55" ht="18" customHeight="1">
      <c r="A117" s="81" t="s">
        <v>384</v>
      </c>
      <c r="B117" s="228" t="s">
        <v>505</v>
      </c>
      <c r="C117" s="82"/>
      <c r="D117" s="82"/>
      <c r="E117" s="82"/>
      <c r="F117" s="82"/>
      <c r="G117" s="82"/>
      <c r="H117" s="82"/>
      <c r="I117" s="82"/>
      <c r="J117" s="82"/>
      <c r="K117" s="82">
        <f>14025+673</f>
        <v>14698</v>
      </c>
      <c r="L117" s="82"/>
      <c r="M117" s="82"/>
      <c r="N117" s="82">
        <v>499</v>
      </c>
      <c r="O117" s="82">
        <f>SUM(K117:N117)</f>
        <v>15197</v>
      </c>
      <c r="P117" s="62"/>
      <c r="Q117" s="62"/>
      <c r="R117" s="62"/>
      <c r="S117" s="62"/>
      <c r="T117" s="62"/>
      <c r="U117" s="64"/>
      <c r="V117" s="64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</row>
    <row r="118" spans="1:55" ht="18" customHeight="1" thickBot="1">
      <c r="A118" s="84" t="s">
        <v>385</v>
      </c>
      <c r="B118" s="229" t="s">
        <v>506</v>
      </c>
      <c r="C118" s="85"/>
      <c r="D118" s="85"/>
      <c r="E118" s="85"/>
      <c r="F118" s="85"/>
      <c r="G118" s="85"/>
      <c r="H118" s="85"/>
      <c r="I118" s="85"/>
      <c r="J118" s="85"/>
      <c r="K118" s="85">
        <f>K117*100/K116</f>
        <v>109.05987979520665</v>
      </c>
      <c r="L118" s="85"/>
      <c r="M118" s="85"/>
      <c r="N118" s="85">
        <f>N117*100/N116</f>
        <v>33.266666666666666</v>
      </c>
      <c r="O118" s="85">
        <f>O117*100/O116</f>
        <v>101.46891900914736</v>
      </c>
      <c r="P118" s="62"/>
      <c r="Q118" s="62"/>
      <c r="R118" s="62"/>
      <c r="S118" s="62"/>
      <c r="T118" s="62"/>
      <c r="U118" s="64"/>
      <c r="V118" s="64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</row>
    <row r="119" spans="1:55" ht="18" customHeight="1">
      <c r="A119" s="90" t="s">
        <v>386</v>
      </c>
      <c r="B119" s="228" t="s">
        <v>430</v>
      </c>
      <c r="C119" s="87"/>
      <c r="D119" s="87"/>
      <c r="E119" s="87"/>
      <c r="F119" s="87">
        <v>460</v>
      </c>
      <c r="G119" s="87">
        <v>10</v>
      </c>
      <c r="H119" s="87"/>
      <c r="I119" s="87">
        <v>38</v>
      </c>
      <c r="J119" s="87">
        <v>105</v>
      </c>
      <c r="K119" s="87"/>
      <c r="L119" s="87"/>
      <c r="M119" s="87"/>
      <c r="N119" s="87"/>
      <c r="O119" s="87">
        <v>613</v>
      </c>
      <c r="P119" s="62"/>
      <c r="Q119" s="62"/>
      <c r="R119" s="62"/>
      <c r="S119" s="62"/>
      <c r="T119" s="62"/>
      <c r="U119" s="64"/>
      <c r="V119" s="64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</row>
    <row r="120" spans="1:55" ht="18" customHeight="1">
      <c r="A120" s="81" t="s">
        <v>387</v>
      </c>
      <c r="B120" s="228" t="s">
        <v>505</v>
      </c>
      <c r="C120" s="82"/>
      <c r="D120" s="82">
        <v>1</v>
      </c>
      <c r="E120" s="82"/>
      <c r="F120" s="82">
        <v>196</v>
      </c>
      <c r="G120" s="82">
        <v>1</v>
      </c>
      <c r="H120" s="82"/>
      <c r="I120" s="82">
        <v>46</v>
      </c>
      <c r="J120" s="82">
        <v>145</v>
      </c>
      <c r="K120" s="82"/>
      <c r="L120" s="82"/>
      <c r="M120" s="82"/>
      <c r="N120" s="82"/>
      <c r="O120" s="82">
        <f>SUM(D120:J120)</f>
        <v>389</v>
      </c>
      <c r="P120" s="62"/>
      <c r="Q120" s="62"/>
      <c r="R120" s="62"/>
      <c r="S120" s="62"/>
      <c r="T120" s="62"/>
      <c r="U120" s="64"/>
      <c r="V120" s="64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</row>
    <row r="121" spans="1:55" s="101" customFormat="1" ht="18" customHeight="1" thickBot="1">
      <c r="A121" s="84" t="s">
        <v>388</v>
      </c>
      <c r="B121" s="229" t="s">
        <v>506</v>
      </c>
      <c r="C121" s="85"/>
      <c r="D121" s="85"/>
      <c r="E121" s="85"/>
      <c r="F121" s="85">
        <f>F120*100/F119</f>
        <v>42.608695652173914</v>
      </c>
      <c r="G121" s="85">
        <f aca="true" t="shared" si="10" ref="G121:O121">G120*100/G119</f>
        <v>10</v>
      </c>
      <c r="H121" s="85"/>
      <c r="I121" s="85">
        <f t="shared" si="10"/>
        <v>121.05263157894737</v>
      </c>
      <c r="J121" s="85">
        <f t="shared" si="10"/>
        <v>138.0952380952381</v>
      </c>
      <c r="K121" s="85"/>
      <c r="L121" s="85"/>
      <c r="M121" s="85"/>
      <c r="N121" s="85"/>
      <c r="O121" s="85">
        <f t="shared" si="10"/>
        <v>63.458401305057095</v>
      </c>
      <c r="P121" s="244"/>
      <c r="Q121" s="244"/>
      <c r="R121" s="244"/>
      <c r="S121" s="244"/>
      <c r="T121" s="244"/>
      <c r="U121" s="245"/>
      <c r="V121" s="245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</row>
    <row r="122" spans="1:55" ht="18" customHeight="1">
      <c r="A122" s="81" t="s">
        <v>389</v>
      </c>
      <c r="B122" s="228" t="s">
        <v>430</v>
      </c>
      <c r="C122" s="87"/>
      <c r="D122" s="87"/>
      <c r="E122" s="87"/>
      <c r="F122" s="87">
        <v>174</v>
      </c>
      <c r="G122" s="87">
        <v>62</v>
      </c>
      <c r="H122" s="87">
        <v>38</v>
      </c>
      <c r="I122" s="87">
        <v>80</v>
      </c>
      <c r="J122" s="87">
        <v>658</v>
      </c>
      <c r="K122" s="87"/>
      <c r="L122" s="87"/>
      <c r="M122" s="87"/>
      <c r="N122" s="87"/>
      <c r="O122" s="87">
        <v>1012</v>
      </c>
      <c r="P122" s="62"/>
      <c r="Q122" s="62"/>
      <c r="R122" s="62"/>
      <c r="S122" s="62"/>
      <c r="T122" s="62"/>
      <c r="U122" s="64"/>
      <c r="V122" s="64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</row>
    <row r="123" spans="1:55" ht="18" customHeight="1">
      <c r="A123" s="81" t="s">
        <v>390</v>
      </c>
      <c r="B123" s="228" t="s">
        <v>505</v>
      </c>
      <c r="C123" s="95"/>
      <c r="D123" s="95">
        <v>2</v>
      </c>
      <c r="E123" s="95"/>
      <c r="F123" s="95">
        <v>146</v>
      </c>
      <c r="G123" s="95">
        <v>8</v>
      </c>
      <c r="H123" s="95">
        <v>38</v>
      </c>
      <c r="I123" s="95">
        <v>80</v>
      </c>
      <c r="J123" s="95">
        <v>531</v>
      </c>
      <c r="K123" s="95"/>
      <c r="L123" s="95"/>
      <c r="M123" s="95"/>
      <c r="N123" s="95"/>
      <c r="O123" s="82">
        <f>SUM(D123:J123)</f>
        <v>805</v>
      </c>
      <c r="P123" s="62"/>
      <c r="Q123" s="62"/>
      <c r="R123" s="62"/>
      <c r="S123" s="62"/>
      <c r="T123" s="62">
        <v>13024</v>
      </c>
      <c r="U123" s="64"/>
      <c r="V123" s="64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</row>
    <row r="124" spans="1:55" ht="18" customHeight="1" thickBot="1">
      <c r="A124" s="84" t="s">
        <v>385</v>
      </c>
      <c r="B124" s="229" t="s">
        <v>506</v>
      </c>
      <c r="C124" s="85"/>
      <c r="D124" s="85"/>
      <c r="E124" s="85"/>
      <c r="F124" s="85">
        <f>F123*100/F122</f>
        <v>83.9080459770115</v>
      </c>
      <c r="G124" s="85">
        <f aca="true" t="shared" si="11" ref="G124:O124">G123*100/G122</f>
        <v>12.903225806451612</v>
      </c>
      <c r="H124" s="85">
        <f t="shared" si="11"/>
        <v>100</v>
      </c>
      <c r="I124" s="85">
        <f t="shared" si="11"/>
        <v>100</v>
      </c>
      <c r="J124" s="85">
        <f t="shared" si="11"/>
        <v>80.69908814589665</v>
      </c>
      <c r="K124" s="85"/>
      <c r="L124" s="85"/>
      <c r="M124" s="85"/>
      <c r="N124" s="85"/>
      <c r="O124" s="85">
        <f t="shared" si="11"/>
        <v>79.54545454545455</v>
      </c>
      <c r="P124" s="62"/>
      <c r="Q124" s="62"/>
      <c r="R124" s="62"/>
      <c r="S124" s="62"/>
      <c r="T124" s="62"/>
      <c r="U124" s="64"/>
      <c r="V124" s="64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</row>
    <row r="125" spans="1:55" ht="18" customHeight="1">
      <c r="A125" s="81"/>
      <c r="B125" s="228" t="s">
        <v>430</v>
      </c>
      <c r="C125" s="95"/>
      <c r="D125" s="95"/>
      <c r="E125" s="95"/>
      <c r="F125" s="95"/>
      <c r="G125" s="95"/>
      <c r="H125" s="95"/>
      <c r="I125" s="95"/>
      <c r="J125" s="95"/>
      <c r="K125" s="91">
        <v>958</v>
      </c>
      <c r="L125" s="91"/>
      <c r="M125" s="91"/>
      <c r="N125" s="91">
        <v>6474</v>
      </c>
      <c r="O125" s="103">
        <v>7432</v>
      </c>
      <c r="P125" s="62"/>
      <c r="Q125" s="62"/>
      <c r="R125" s="62"/>
      <c r="S125" s="62"/>
      <c r="T125" s="62"/>
      <c r="U125" s="64"/>
      <c r="V125" s="64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</row>
    <row r="126" spans="1:55" ht="18" customHeight="1">
      <c r="A126" s="81" t="s">
        <v>418</v>
      </c>
      <c r="B126" s="228" t="s">
        <v>505</v>
      </c>
      <c r="C126" s="95"/>
      <c r="D126" s="95"/>
      <c r="E126" s="95"/>
      <c r="F126" s="95"/>
      <c r="G126" s="95"/>
      <c r="H126" s="95"/>
      <c r="I126" s="95"/>
      <c r="J126" s="95"/>
      <c r="K126" s="104">
        <v>215</v>
      </c>
      <c r="L126" s="104"/>
      <c r="M126" s="104"/>
      <c r="N126" s="104">
        <f>1200+3790</f>
        <v>4990</v>
      </c>
      <c r="O126" s="104">
        <f>SUM(K126:N126)</f>
        <v>5205</v>
      </c>
      <c r="P126" s="62"/>
      <c r="Q126" s="62"/>
      <c r="R126" s="62"/>
      <c r="S126" s="62"/>
      <c r="T126" s="62"/>
      <c r="U126" s="64"/>
      <c r="V126" s="64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</row>
    <row r="127" spans="1:55" ht="18" customHeight="1" thickBot="1">
      <c r="A127" s="84" t="s">
        <v>419</v>
      </c>
      <c r="B127" s="229" t="s">
        <v>506</v>
      </c>
      <c r="C127" s="85"/>
      <c r="D127" s="85"/>
      <c r="E127" s="85"/>
      <c r="F127" s="85"/>
      <c r="G127" s="85"/>
      <c r="H127" s="85"/>
      <c r="I127" s="85"/>
      <c r="J127" s="85"/>
      <c r="K127" s="85">
        <f>K126*100/K125</f>
        <v>22.44258872651357</v>
      </c>
      <c r="L127" s="85"/>
      <c r="M127" s="85"/>
      <c r="N127" s="85">
        <f>N126*100/N125</f>
        <v>77.07754093296262</v>
      </c>
      <c r="O127" s="85">
        <f>O126*100/O125</f>
        <v>70.03498385360602</v>
      </c>
      <c r="P127" s="62"/>
      <c r="Q127" s="62"/>
      <c r="R127" s="62"/>
      <c r="S127" s="62"/>
      <c r="T127" s="62"/>
      <c r="U127" s="64"/>
      <c r="V127" s="64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</row>
    <row r="128" spans="1:15" ht="18" customHeight="1">
      <c r="A128" s="158"/>
      <c r="B128" s="224"/>
      <c r="C128" s="159"/>
      <c r="D128" s="159"/>
      <c r="E128" s="159"/>
      <c r="F128" s="159"/>
      <c r="G128" s="71"/>
      <c r="H128" s="71"/>
      <c r="I128" s="71"/>
      <c r="J128" s="71"/>
      <c r="K128" s="71"/>
      <c r="L128" s="71"/>
      <c r="M128" s="71"/>
      <c r="N128" s="69"/>
      <c r="O128" s="69"/>
    </row>
    <row r="129" spans="1:15" ht="18" customHeight="1">
      <c r="A129" s="158"/>
      <c r="B129" s="224"/>
      <c r="C129" s="159"/>
      <c r="D129" s="159"/>
      <c r="E129" s="159"/>
      <c r="F129" s="159"/>
      <c r="G129" s="71"/>
      <c r="H129" s="71"/>
      <c r="I129" s="71"/>
      <c r="J129" s="71"/>
      <c r="K129" s="71"/>
      <c r="L129" s="71"/>
      <c r="M129" s="71"/>
      <c r="N129" s="69"/>
      <c r="O129" s="69"/>
    </row>
    <row r="130" spans="1:15" ht="18" customHeight="1">
      <c r="A130" s="158" t="s">
        <v>493</v>
      </c>
      <c r="B130" s="224"/>
      <c r="C130" s="159"/>
      <c r="D130" s="159"/>
      <c r="E130" s="159"/>
      <c r="F130" s="159"/>
      <c r="G130" s="71"/>
      <c r="H130" s="71"/>
      <c r="I130" s="71"/>
      <c r="J130" s="71"/>
      <c r="K130" s="71"/>
      <c r="L130" s="71"/>
      <c r="M130" s="71"/>
      <c r="N130" s="69"/>
      <c r="O130" s="72" t="s">
        <v>417</v>
      </c>
    </row>
    <row r="131" spans="1:15" ht="18" customHeight="1" thickBot="1">
      <c r="A131" s="70"/>
      <c r="B131" s="22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2" t="s">
        <v>128</v>
      </c>
    </row>
    <row r="132" spans="1:15" ht="15.75">
      <c r="A132" s="74"/>
      <c r="B132" s="225"/>
      <c r="C132" s="75" t="s">
        <v>317</v>
      </c>
      <c r="D132" s="75" t="s">
        <v>318</v>
      </c>
      <c r="E132" s="75" t="s">
        <v>319</v>
      </c>
      <c r="F132" s="75" t="s">
        <v>320</v>
      </c>
      <c r="G132" s="75" t="s">
        <v>321</v>
      </c>
      <c r="H132" s="75" t="s">
        <v>322</v>
      </c>
      <c r="I132" s="75" t="s">
        <v>323</v>
      </c>
      <c r="J132" s="75" t="s">
        <v>324</v>
      </c>
      <c r="K132" s="75" t="s">
        <v>325</v>
      </c>
      <c r="L132" s="75" t="s">
        <v>326</v>
      </c>
      <c r="M132" s="75" t="s">
        <v>327</v>
      </c>
      <c r="N132" s="75" t="s">
        <v>449</v>
      </c>
      <c r="O132" s="75" t="s">
        <v>27</v>
      </c>
    </row>
    <row r="133" spans="1:15" ht="15.75">
      <c r="A133" s="76" t="s">
        <v>3</v>
      </c>
      <c r="B133" s="226"/>
      <c r="C133" s="77"/>
      <c r="D133" s="77" t="s">
        <v>328</v>
      </c>
      <c r="E133" s="77" t="s">
        <v>329</v>
      </c>
      <c r="F133" s="77" t="s">
        <v>330</v>
      </c>
      <c r="G133" s="77" t="s">
        <v>331</v>
      </c>
      <c r="H133" s="77" t="s">
        <v>332</v>
      </c>
      <c r="I133" s="77" t="s">
        <v>333</v>
      </c>
      <c r="J133" s="77" t="s">
        <v>334</v>
      </c>
      <c r="K133" s="77" t="s">
        <v>335</v>
      </c>
      <c r="L133" s="77" t="s">
        <v>336</v>
      </c>
      <c r="M133" s="77" t="s">
        <v>337</v>
      </c>
      <c r="N133" s="77" t="s">
        <v>450</v>
      </c>
      <c r="O133" s="77" t="s">
        <v>107</v>
      </c>
    </row>
    <row r="134" spans="1:15" ht="15.75">
      <c r="A134" s="76"/>
      <c r="B134" s="226"/>
      <c r="C134" s="77"/>
      <c r="D134" s="77" t="s">
        <v>338</v>
      </c>
      <c r="E134" s="77" t="s">
        <v>339</v>
      </c>
      <c r="F134" s="77" t="s">
        <v>340</v>
      </c>
      <c r="G134" s="77" t="s">
        <v>341</v>
      </c>
      <c r="H134" s="77"/>
      <c r="I134" s="77" t="s">
        <v>342</v>
      </c>
      <c r="J134" s="77" t="s">
        <v>343</v>
      </c>
      <c r="K134" s="77"/>
      <c r="L134" s="77"/>
      <c r="M134" s="77"/>
      <c r="N134" s="77"/>
      <c r="O134" s="77"/>
    </row>
    <row r="135" spans="1:55" s="80" customFormat="1" ht="16.5" thickBot="1">
      <c r="A135" s="78"/>
      <c r="B135" s="227"/>
      <c r="C135" s="79"/>
      <c r="D135" s="79"/>
      <c r="E135" s="79"/>
      <c r="F135" s="79"/>
      <c r="G135" s="79"/>
      <c r="H135" s="79"/>
      <c r="I135" s="79" t="s">
        <v>344</v>
      </c>
      <c r="J135" s="79" t="s">
        <v>345</v>
      </c>
      <c r="K135" s="79"/>
      <c r="L135" s="79"/>
      <c r="M135" s="79"/>
      <c r="N135" s="79"/>
      <c r="O135" s="79"/>
      <c r="P135" s="116"/>
      <c r="Q135" s="116"/>
      <c r="R135" s="116"/>
      <c r="S135" s="116"/>
      <c r="T135" s="116"/>
      <c r="U135" s="117"/>
      <c r="V135" s="117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6" spans="1:55" ht="18" customHeight="1" thickTop="1">
      <c r="A136" s="81" t="s">
        <v>391</v>
      </c>
      <c r="B136" s="228" t="s">
        <v>430</v>
      </c>
      <c r="C136" s="284">
        <v>7100</v>
      </c>
      <c r="D136" s="284">
        <v>2735</v>
      </c>
      <c r="E136" s="284"/>
      <c r="F136" s="284">
        <v>1702</v>
      </c>
      <c r="G136" s="284">
        <v>1352</v>
      </c>
      <c r="H136" s="284"/>
      <c r="I136" s="284">
        <v>366</v>
      </c>
      <c r="J136" s="284">
        <v>330</v>
      </c>
      <c r="K136" s="104">
        <v>19</v>
      </c>
      <c r="L136" s="104"/>
      <c r="M136" s="104"/>
      <c r="N136" s="104">
        <v>700</v>
      </c>
      <c r="O136" s="104">
        <v>14304</v>
      </c>
      <c r="P136" s="62"/>
      <c r="Q136" s="62"/>
      <c r="R136" s="62"/>
      <c r="S136" s="62"/>
      <c r="T136" s="62"/>
      <c r="U136" s="64"/>
      <c r="V136" s="64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</row>
    <row r="137" spans="1:55" ht="18" customHeight="1">
      <c r="A137" s="81" t="s">
        <v>387</v>
      </c>
      <c r="B137" s="228" t="s">
        <v>505</v>
      </c>
      <c r="C137" s="82">
        <v>7293</v>
      </c>
      <c r="D137" s="82">
        <v>2526</v>
      </c>
      <c r="E137" s="82"/>
      <c r="F137" s="82">
        <v>1318</v>
      </c>
      <c r="G137" s="82">
        <f>1536</f>
        <v>1536</v>
      </c>
      <c r="H137" s="82"/>
      <c r="I137" s="82">
        <v>495</v>
      </c>
      <c r="J137" s="82">
        <v>325</v>
      </c>
      <c r="K137" s="82">
        <v>153</v>
      </c>
      <c r="L137" s="82"/>
      <c r="M137" s="82"/>
      <c r="N137" s="82">
        <v>136</v>
      </c>
      <c r="O137" s="82">
        <f>SUM(C137:N137)</f>
        <v>13782</v>
      </c>
      <c r="P137" s="62"/>
      <c r="Q137" s="62"/>
      <c r="R137" s="62"/>
      <c r="S137" s="62"/>
      <c r="T137" s="62"/>
      <c r="U137" s="64"/>
      <c r="V137" s="64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</row>
    <row r="138" spans="1:55" ht="18" customHeight="1" thickBot="1">
      <c r="A138" s="84" t="s">
        <v>392</v>
      </c>
      <c r="B138" s="229" t="s">
        <v>506</v>
      </c>
      <c r="C138" s="85">
        <f>C137*100/C136</f>
        <v>102.71830985915493</v>
      </c>
      <c r="D138" s="85">
        <f aca="true" t="shared" si="12" ref="D138:O138">D137*100/D136</f>
        <v>92.35831809872029</v>
      </c>
      <c r="E138" s="85"/>
      <c r="F138" s="85">
        <f t="shared" si="12"/>
        <v>77.43830787309048</v>
      </c>
      <c r="G138" s="85">
        <f t="shared" si="12"/>
        <v>113.6094674556213</v>
      </c>
      <c r="H138" s="85"/>
      <c r="I138" s="85">
        <f t="shared" si="12"/>
        <v>135.24590163934425</v>
      </c>
      <c r="J138" s="85">
        <f t="shared" si="12"/>
        <v>98.48484848484848</v>
      </c>
      <c r="K138" s="85">
        <f t="shared" si="12"/>
        <v>805.2631578947369</v>
      </c>
      <c r="L138" s="85"/>
      <c r="M138" s="85"/>
      <c r="N138" s="85">
        <f t="shared" si="12"/>
        <v>19.428571428571427</v>
      </c>
      <c r="O138" s="85">
        <f t="shared" si="12"/>
        <v>96.3506711409396</v>
      </c>
      <c r="P138" s="62"/>
      <c r="Q138" s="62"/>
      <c r="R138" s="62"/>
      <c r="S138" s="62"/>
      <c r="T138" s="62"/>
      <c r="U138" s="64"/>
      <c r="V138" s="64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</row>
    <row r="139" spans="1:55" ht="18" customHeight="1">
      <c r="A139" s="81" t="s">
        <v>278</v>
      </c>
      <c r="B139" s="228" t="s">
        <v>430</v>
      </c>
      <c r="C139" s="94"/>
      <c r="D139" s="94"/>
      <c r="E139" s="94"/>
      <c r="F139" s="94"/>
      <c r="G139" s="94"/>
      <c r="H139" s="94"/>
      <c r="I139" s="94"/>
      <c r="J139" s="94"/>
      <c r="K139" s="94">
        <v>338822</v>
      </c>
      <c r="L139" s="94"/>
      <c r="M139" s="94"/>
      <c r="N139" s="94">
        <v>6356</v>
      </c>
      <c r="O139" s="94">
        <v>345178</v>
      </c>
      <c r="P139" s="62"/>
      <c r="Q139" s="62"/>
      <c r="R139" s="62"/>
      <c r="S139" s="62"/>
      <c r="T139" s="62"/>
      <c r="U139" s="64"/>
      <c r="V139" s="64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</row>
    <row r="140" spans="1:55" ht="18" customHeight="1">
      <c r="A140" s="81"/>
      <c r="B140" s="228" t="s">
        <v>505</v>
      </c>
      <c r="C140" s="82"/>
      <c r="D140" s="82"/>
      <c r="E140" s="82"/>
      <c r="F140" s="82"/>
      <c r="G140" s="82"/>
      <c r="H140" s="82"/>
      <c r="I140" s="82"/>
      <c r="J140" s="82"/>
      <c r="K140" s="82">
        <f>338+323+221712+139125+33469</f>
        <v>394967</v>
      </c>
      <c r="L140" s="82"/>
      <c r="M140" s="82"/>
      <c r="N140" s="82">
        <f>5197</f>
        <v>5197</v>
      </c>
      <c r="O140" s="82">
        <f>SUM(K140:N140)</f>
        <v>400164</v>
      </c>
      <c r="P140" s="62"/>
      <c r="Q140" s="62"/>
      <c r="R140" s="62"/>
      <c r="S140" s="62"/>
      <c r="T140" s="62"/>
      <c r="U140" s="64"/>
      <c r="V140" s="64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</row>
    <row r="141" spans="1:55" ht="18" customHeight="1" thickBot="1">
      <c r="A141" s="84" t="s">
        <v>277</v>
      </c>
      <c r="B141" s="229" t="s">
        <v>506</v>
      </c>
      <c r="C141" s="89"/>
      <c r="D141" s="89"/>
      <c r="E141" s="89"/>
      <c r="F141" s="89"/>
      <c r="G141" s="89"/>
      <c r="H141" s="89"/>
      <c r="I141" s="89"/>
      <c r="J141" s="89"/>
      <c r="K141" s="89">
        <f>K140*100/K139</f>
        <v>116.57064771472926</v>
      </c>
      <c r="L141" s="89"/>
      <c r="M141" s="89"/>
      <c r="N141" s="89">
        <f>N140*100/N139</f>
        <v>81.76526117054752</v>
      </c>
      <c r="O141" s="89">
        <f>O140*100/O139</f>
        <v>115.92975218582876</v>
      </c>
      <c r="P141" s="62"/>
      <c r="Q141" s="62"/>
      <c r="R141" s="62"/>
      <c r="S141" s="62"/>
      <c r="T141" s="62"/>
      <c r="U141" s="64"/>
      <c r="V141" s="64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</row>
    <row r="142" spans="1:55" ht="18" customHeight="1">
      <c r="A142" s="81" t="s">
        <v>393</v>
      </c>
      <c r="B142" s="228" t="s">
        <v>430</v>
      </c>
      <c r="C142" s="104">
        <v>1750</v>
      </c>
      <c r="D142" s="104">
        <v>650</v>
      </c>
      <c r="E142" s="104">
        <v>0</v>
      </c>
      <c r="F142" s="104">
        <v>1535</v>
      </c>
      <c r="G142" s="104">
        <v>4213</v>
      </c>
      <c r="H142" s="104">
        <v>43</v>
      </c>
      <c r="I142" s="104">
        <v>211</v>
      </c>
      <c r="J142" s="104">
        <v>299</v>
      </c>
      <c r="K142" s="104">
        <v>19</v>
      </c>
      <c r="L142" s="104"/>
      <c r="M142" s="104"/>
      <c r="N142" s="104">
        <v>6675</v>
      </c>
      <c r="O142" s="104">
        <v>15395</v>
      </c>
      <c r="P142" s="62"/>
      <c r="Q142" s="62"/>
      <c r="R142" s="62"/>
      <c r="S142" s="62"/>
      <c r="T142" s="62"/>
      <c r="U142" s="64"/>
      <c r="V142" s="64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</row>
    <row r="143" spans="1:55" ht="18" customHeight="1">
      <c r="A143" s="81" t="s">
        <v>394</v>
      </c>
      <c r="B143" s="228" t="s">
        <v>505</v>
      </c>
      <c r="C143" s="82">
        <v>1325</v>
      </c>
      <c r="D143" s="82">
        <v>461</v>
      </c>
      <c r="E143" s="82"/>
      <c r="F143" s="82">
        <v>1036</v>
      </c>
      <c r="G143" s="82">
        <v>2990</v>
      </c>
      <c r="H143" s="82">
        <v>31</v>
      </c>
      <c r="I143" s="82">
        <v>46</v>
      </c>
      <c r="J143" s="82">
        <v>169</v>
      </c>
      <c r="K143" s="82">
        <v>128</v>
      </c>
      <c r="L143" s="82"/>
      <c r="M143" s="82"/>
      <c r="N143" s="82">
        <f>801+4274+959</f>
        <v>6034</v>
      </c>
      <c r="O143" s="82">
        <f>SUM(C143:N143)</f>
        <v>12220</v>
      </c>
      <c r="P143" s="62"/>
      <c r="Q143" s="62"/>
      <c r="R143" s="62"/>
      <c r="S143" s="62"/>
      <c r="T143" s="62"/>
      <c r="U143" s="64"/>
      <c r="V143" s="64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</row>
    <row r="144" spans="1:55" ht="18" customHeight="1" thickBot="1">
      <c r="A144" s="84" t="s">
        <v>452</v>
      </c>
      <c r="B144" s="229" t="s">
        <v>506</v>
      </c>
      <c r="C144" s="85">
        <f>C143*100/C142</f>
        <v>75.71428571428571</v>
      </c>
      <c r="D144" s="85">
        <f aca="true" t="shared" si="13" ref="D144:O144">D143*100/D142</f>
        <v>70.92307692307692</v>
      </c>
      <c r="E144" s="85"/>
      <c r="F144" s="85">
        <f t="shared" si="13"/>
        <v>67.49185667752442</v>
      </c>
      <c r="G144" s="85">
        <f t="shared" si="13"/>
        <v>70.97080465226679</v>
      </c>
      <c r="H144" s="85">
        <f t="shared" si="13"/>
        <v>72.09302325581395</v>
      </c>
      <c r="I144" s="85">
        <f t="shared" si="13"/>
        <v>21.80094786729858</v>
      </c>
      <c r="J144" s="85">
        <f t="shared" si="13"/>
        <v>56.52173913043478</v>
      </c>
      <c r="K144" s="85">
        <f t="shared" si="13"/>
        <v>673.6842105263158</v>
      </c>
      <c r="L144" s="85"/>
      <c r="M144" s="85"/>
      <c r="N144" s="85">
        <f t="shared" si="13"/>
        <v>90.39700374531836</v>
      </c>
      <c r="O144" s="85">
        <f t="shared" si="13"/>
        <v>79.37642091588178</v>
      </c>
      <c r="P144" s="62"/>
      <c r="Q144" s="62"/>
      <c r="R144" s="62"/>
      <c r="S144" s="62"/>
      <c r="T144" s="62"/>
      <c r="U144" s="64"/>
      <c r="V144" s="64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</row>
    <row r="145" spans="1:55" ht="18" customHeight="1">
      <c r="A145" s="81" t="s">
        <v>395</v>
      </c>
      <c r="B145" s="228" t="s">
        <v>430</v>
      </c>
      <c r="C145" s="91"/>
      <c r="D145" s="91"/>
      <c r="E145" s="91"/>
      <c r="F145" s="91"/>
      <c r="G145" s="91"/>
      <c r="H145" s="91"/>
      <c r="I145" s="91"/>
      <c r="J145" s="91">
        <v>96</v>
      </c>
      <c r="K145" s="91">
        <v>958</v>
      </c>
      <c r="L145" s="91"/>
      <c r="M145" s="91"/>
      <c r="N145" s="91"/>
      <c r="O145" s="91">
        <v>1054</v>
      </c>
      <c r="P145" s="62"/>
      <c r="Q145" s="62"/>
      <c r="R145" s="62"/>
      <c r="S145" s="62"/>
      <c r="T145" s="62"/>
      <c r="U145" s="64"/>
      <c r="V145" s="64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</row>
    <row r="146" spans="1:55" ht="18" customHeight="1">
      <c r="A146" s="81" t="s">
        <v>396</v>
      </c>
      <c r="B146" s="228" t="s">
        <v>505</v>
      </c>
      <c r="C146" s="87"/>
      <c r="D146" s="87"/>
      <c r="E146" s="87"/>
      <c r="F146" s="87"/>
      <c r="G146" s="87"/>
      <c r="H146" s="87"/>
      <c r="I146" s="87"/>
      <c r="J146" s="87">
        <v>35</v>
      </c>
      <c r="K146" s="87">
        <v>646</v>
      </c>
      <c r="L146" s="87"/>
      <c r="M146" s="87"/>
      <c r="N146" s="87"/>
      <c r="O146" s="87">
        <f>SUM(J146:K146)</f>
        <v>681</v>
      </c>
      <c r="P146" s="62"/>
      <c r="Q146" s="62"/>
      <c r="R146" s="62"/>
      <c r="S146" s="62"/>
      <c r="T146" s="62"/>
      <c r="U146" s="64"/>
      <c r="V146" s="64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</row>
    <row r="147" spans="1:55" ht="18" customHeight="1" thickBot="1">
      <c r="A147" s="84" t="s">
        <v>397</v>
      </c>
      <c r="B147" s="229" t="s">
        <v>506</v>
      </c>
      <c r="C147" s="89"/>
      <c r="D147" s="89"/>
      <c r="E147" s="89"/>
      <c r="F147" s="89"/>
      <c r="G147" s="89"/>
      <c r="H147" s="89"/>
      <c r="I147" s="89"/>
      <c r="J147" s="89">
        <f>J146*100/J145</f>
        <v>36.458333333333336</v>
      </c>
      <c r="K147" s="89">
        <f>K146*100/K145</f>
        <v>67.4321503131524</v>
      </c>
      <c r="L147" s="89"/>
      <c r="M147" s="89"/>
      <c r="N147" s="89"/>
      <c r="O147" s="89">
        <f>O146*100/O145</f>
        <v>64.61100569259962</v>
      </c>
      <c r="P147" s="62"/>
      <c r="Q147" s="62"/>
      <c r="R147" s="62"/>
      <c r="S147" s="62"/>
      <c r="T147" s="62"/>
      <c r="U147" s="64"/>
      <c r="V147" s="64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</row>
    <row r="148" spans="1:55" ht="18" customHeight="1">
      <c r="A148" s="81" t="s">
        <v>398</v>
      </c>
      <c r="B148" s="228" t="s">
        <v>430</v>
      </c>
      <c r="C148" s="87">
        <v>10300</v>
      </c>
      <c r="D148" s="87">
        <v>3500</v>
      </c>
      <c r="E148" s="87">
        <v>39</v>
      </c>
      <c r="F148" s="87">
        <v>10</v>
      </c>
      <c r="G148" s="87">
        <v>0</v>
      </c>
      <c r="H148" s="88">
        <v>144</v>
      </c>
      <c r="I148" s="106"/>
      <c r="J148" s="104">
        <v>476</v>
      </c>
      <c r="K148" s="104">
        <v>29</v>
      </c>
      <c r="L148" s="104"/>
      <c r="M148" s="107"/>
      <c r="N148" s="107"/>
      <c r="O148" s="104">
        <v>14498</v>
      </c>
      <c r="P148" s="62"/>
      <c r="Q148"/>
      <c r="R148"/>
      <c r="S148" s="62"/>
      <c r="T148" s="62"/>
      <c r="U148" s="64"/>
      <c r="V148" s="64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</row>
    <row r="149" spans="1:55" ht="18" customHeight="1">
      <c r="A149" s="81" t="s">
        <v>399</v>
      </c>
      <c r="B149" s="228" t="s">
        <v>505</v>
      </c>
      <c r="C149" s="83">
        <v>10381</v>
      </c>
      <c r="D149" s="83">
        <v>3560</v>
      </c>
      <c r="E149" s="83">
        <v>46</v>
      </c>
      <c r="F149" s="83">
        <v>5</v>
      </c>
      <c r="G149" s="83">
        <v>15</v>
      </c>
      <c r="H149" s="83">
        <v>286</v>
      </c>
      <c r="I149" s="83">
        <v>1</v>
      </c>
      <c r="J149" s="83">
        <v>694</v>
      </c>
      <c r="K149" s="83">
        <v>33</v>
      </c>
      <c r="L149" s="83"/>
      <c r="M149" s="83"/>
      <c r="N149" s="83"/>
      <c r="O149" s="83">
        <f>SUM(C149:K149)</f>
        <v>15021</v>
      </c>
      <c r="P149" s="62"/>
      <c r="Q149"/>
      <c r="R149"/>
      <c r="S149" s="62"/>
      <c r="T149" s="62"/>
      <c r="U149" s="64"/>
      <c r="V149" s="64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</row>
    <row r="150" spans="1:55" ht="18" customHeight="1" thickBot="1">
      <c r="A150" s="84">
        <v>37297</v>
      </c>
      <c r="B150" s="229" t="s">
        <v>506</v>
      </c>
      <c r="C150" s="86">
        <f>C149*100/C148</f>
        <v>100.7864077669903</v>
      </c>
      <c r="D150" s="86">
        <f aca="true" t="shared" si="14" ref="D150:O150">D149*100/D148</f>
        <v>101.71428571428571</v>
      </c>
      <c r="E150" s="86">
        <f t="shared" si="14"/>
        <v>117.94871794871794</v>
      </c>
      <c r="F150" s="86">
        <f t="shared" si="14"/>
        <v>50</v>
      </c>
      <c r="G150" s="86"/>
      <c r="H150" s="86">
        <f t="shared" si="14"/>
        <v>198.61111111111111</v>
      </c>
      <c r="I150" s="86"/>
      <c r="J150" s="86">
        <f t="shared" si="14"/>
        <v>145.7983193277311</v>
      </c>
      <c r="K150" s="86">
        <f t="shared" si="14"/>
        <v>113.79310344827586</v>
      </c>
      <c r="L150" s="86"/>
      <c r="M150" s="86"/>
      <c r="N150" s="86"/>
      <c r="O150" s="86">
        <f t="shared" si="14"/>
        <v>103.60739412332735</v>
      </c>
      <c r="P150" s="62"/>
      <c r="Q150"/>
      <c r="R150"/>
      <c r="S150" s="62"/>
      <c r="T150" s="62"/>
      <c r="U150" s="64"/>
      <c r="V150" s="64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</row>
    <row r="151" spans="1:55" ht="18" customHeight="1">
      <c r="A151" s="90" t="s">
        <v>429</v>
      </c>
      <c r="B151" s="228" t="s">
        <v>430</v>
      </c>
      <c r="C151" s="110">
        <v>83419</v>
      </c>
      <c r="D151" s="110">
        <v>28769</v>
      </c>
      <c r="E151" s="110">
        <v>1183</v>
      </c>
      <c r="F151" s="110">
        <v>314282</v>
      </c>
      <c r="G151" s="110">
        <v>16780</v>
      </c>
      <c r="H151" s="110">
        <v>4287</v>
      </c>
      <c r="I151" s="110">
        <v>209495</v>
      </c>
      <c r="J151" s="110">
        <v>123486</v>
      </c>
      <c r="K151" s="110">
        <v>673755</v>
      </c>
      <c r="L151" s="110">
        <v>27920</v>
      </c>
      <c r="M151" s="110">
        <v>537378</v>
      </c>
      <c r="N151" s="111">
        <v>549534</v>
      </c>
      <c r="O151" s="112">
        <f>SUM(C151:N151)</f>
        <v>2570288</v>
      </c>
      <c r="P151" s="62"/>
      <c r="Q151"/>
      <c r="R151"/>
      <c r="S151" s="62"/>
      <c r="T151" s="62"/>
      <c r="U151" s="64"/>
      <c r="V151" s="64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</row>
    <row r="152" spans="1:55" ht="18" customHeight="1">
      <c r="A152" s="81" t="s">
        <v>107</v>
      </c>
      <c r="B152" s="228" t="s">
        <v>505</v>
      </c>
      <c r="C152" s="113">
        <f aca="true" t="shared" si="15" ref="C152:O152">C13+C16+C19+C22+C25+C28+C31+C44+C47+C50+C53+C56+C59+C62+C74+C77+C80+C83+C86+C89+C92+C95+C105+C108+C111+C114+C117+C120+C123+C126+C137+C140+C143+C146+C149</f>
        <v>83004</v>
      </c>
      <c r="D152" s="113">
        <f t="shared" si="15"/>
        <v>27734</v>
      </c>
      <c r="E152" s="113">
        <f t="shared" si="15"/>
        <v>1611</v>
      </c>
      <c r="F152" s="113">
        <f t="shared" si="15"/>
        <v>334169</v>
      </c>
      <c r="G152" s="113">
        <f t="shared" si="15"/>
        <v>14108</v>
      </c>
      <c r="H152" s="113">
        <f t="shared" si="15"/>
        <v>4226</v>
      </c>
      <c r="I152" s="113">
        <f t="shared" si="15"/>
        <v>206473</v>
      </c>
      <c r="J152" s="113">
        <f t="shared" si="15"/>
        <v>161729</v>
      </c>
      <c r="K152" s="113">
        <f t="shared" si="15"/>
        <v>602663</v>
      </c>
      <c r="L152" s="113">
        <f t="shared" si="15"/>
        <v>53543</v>
      </c>
      <c r="M152" s="113">
        <f t="shared" si="15"/>
        <v>845310</v>
      </c>
      <c r="N152" s="113">
        <f t="shared" si="15"/>
        <v>500257</v>
      </c>
      <c r="O152" s="113">
        <f t="shared" si="15"/>
        <v>2834827</v>
      </c>
      <c r="P152" s="62"/>
      <c r="Q152" s="62"/>
      <c r="R152" s="62"/>
      <c r="S152" s="62"/>
      <c r="T152" s="62"/>
      <c r="U152" s="64"/>
      <c r="V152" s="64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</row>
    <row r="153" spans="1:55" ht="18" customHeight="1" thickBot="1">
      <c r="A153" s="84"/>
      <c r="B153" s="229" t="s">
        <v>506</v>
      </c>
      <c r="C153" s="114">
        <f>C152*100/C151</f>
        <v>99.50251141826203</v>
      </c>
      <c r="D153" s="114">
        <f aca="true" t="shared" si="16" ref="D153:O153">D152*100/D151</f>
        <v>96.40237755917828</v>
      </c>
      <c r="E153" s="114">
        <f t="shared" si="16"/>
        <v>136.17920540997463</v>
      </c>
      <c r="F153" s="114">
        <f t="shared" si="16"/>
        <v>106.32775660075983</v>
      </c>
      <c r="G153" s="114">
        <f t="shared" si="16"/>
        <v>84.07628128724673</v>
      </c>
      <c r="H153" s="114">
        <f t="shared" si="16"/>
        <v>98.57709353860508</v>
      </c>
      <c r="I153" s="114">
        <f t="shared" si="16"/>
        <v>98.55748347215923</v>
      </c>
      <c r="J153" s="114">
        <f t="shared" si="16"/>
        <v>130.96950261568114</v>
      </c>
      <c r="K153" s="114">
        <f t="shared" si="16"/>
        <v>89.44838999339522</v>
      </c>
      <c r="L153" s="114">
        <f t="shared" si="16"/>
        <v>191.77292263610315</v>
      </c>
      <c r="M153" s="114">
        <f t="shared" si="16"/>
        <v>157.30268079452452</v>
      </c>
      <c r="N153" s="114">
        <f t="shared" si="16"/>
        <v>91.03294791587054</v>
      </c>
      <c r="O153" s="114">
        <f t="shared" si="16"/>
        <v>110.29219293713389</v>
      </c>
      <c r="P153" s="62"/>
      <c r="Q153" s="62"/>
      <c r="R153" s="62"/>
      <c r="S153" s="62"/>
      <c r="T153" s="62"/>
      <c r="U153" s="64"/>
      <c r="V153" s="64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</row>
    <row r="154" spans="1:15" ht="15">
      <c r="A154" s="71" t="s">
        <v>451</v>
      </c>
      <c r="B154" s="224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</row>
    <row r="155" spans="1:15" ht="15.75">
      <c r="A155" s="71" t="s">
        <v>511</v>
      </c>
      <c r="B155" s="224"/>
      <c r="C155" s="71"/>
      <c r="D155" s="71"/>
      <c r="E155" s="160"/>
      <c r="F155" s="161"/>
      <c r="G155" s="115"/>
      <c r="H155" s="115"/>
      <c r="I155" s="71"/>
      <c r="J155" s="71"/>
      <c r="K155" s="160"/>
      <c r="L155" s="161"/>
      <c r="M155" s="115"/>
      <c r="N155" s="69"/>
      <c r="O155" s="378"/>
    </row>
    <row r="156" spans="1:15" ht="15.75">
      <c r="A156" s="71"/>
      <c r="B156" s="224"/>
      <c r="C156" s="71"/>
      <c r="D156" s="71"/>
      <c r="E156" s="160"/>
      <c r="F156" s="161"/>
      <c r="G156" s="115"/>
      <c r="H156" s="115"/>
      <c r="I156" s="71"/>
      <c r="J156" s="71"/>
      <c r="K156" s="160"/>
      <c r="L156" s="161"/>
      <c r="M156" s="115"/>
      <c r="N156" s="69"/>
      <c r="O156" s="378"/>
    </row>
    <row r="157" spans="1:15" ht="15.75">
      <c r="A157" s="71"/>
      <c r="B157" s="224"/>
      <c r="C157" s="71"/>
      <c r="D157" s="71"/>
      <c r="E157" s="160"/>
      <c r="F157" s="161"/>
      <c r="G157" s="115"/>
      <c r="H157" s="115"/>
      <c r="I157" s="71"/>
      <c r="J157" s="71"/>
      <c r="K157" s="160"/>
      <c r="L157" s="161"/>
      <c r="M157" s="115"/>
      <c r="N157" s="69"/>
      <c r="O157" s="378"/>
    </row>
    <row r="158" spans="1:15" ht="15.75">
      <c r="A158" s="71"/>
      <c r="B158" s="224"/>
      <c r="C158" s="71"/>
      <c r="D158" s="71"/>
      <c r="E158" s="160"/>
      <c r="F158" s="161"/>
      <c r="G158" s="115"/>
      <c r="H158" s="115"/>
      <c r="I158" s="71"/>
      <c r="J158" s="71"/>
      <c r="K158" s="160"/>
      <c r="L158" s="161"/>
      <c r="M158" s="115"/>
      <c r="N158" s="69"/>
      <c r="O158" s="378"/>
    </row>
    <row r="159" spans="1:15" ht="15.75">
      <c r="A159" s="71"/>
      <c r="B159" s="224"/>
      <c r="C159" s="71"/>
      <c r="D159" s="71"/>
      <c r="E159" s="160"/>
      <c r="F159" s="161"/>
      <c r="G159" s="115"/>
      <c r="H159" s="115"/>
      <c r="I159" s="71"/>
      <c r="J159" s="71"/>
      <c r="K159" s="160"/>
      <c r="L159" s="161"/>
      <c r="M159" s="115"/>
      <c r="N159" s="69"/>
      <c r="O159" s="378"/>
    </row>
    <row r="160" spans="1:15" ht="15.75">
      <c r="A160" s="71"/>
      <c r="B160" s="224"/>
      <c r="C160" s="71"/>
      <c r="D160" s="71"/>
      <c r="E160" s="160"/>
      <c r="F160" s="161"/>
      <c r="G160" s="115"/>
      <c r="H160" s="115"/>
      <c r="I160" s="71"/>
      <c r="J160" s="71"/>
      <c r="K160" s="160"/>
      <c r="L160" s="161"/>
      <c r="M160" s="115"/>
      <c r="N160" s="69"/>
      <c r="O160" s="378"/>
    </row>
    <row r="161" spans="1:15" ht="15.75">
      <c r="A161" s="71"/>
      <c r="B161" s="224"/>
      <c r="C161" s="71"/>
      <c r="D161" s="71"/>
      <c r="E161" s="917"/>
      <c r="F161" s="918"/>
      <c r="G161" s="69"/>
      <c r="H161" s="69"/>
      <c r="I161" s="71"/>
      <c r="J161" s="71"/>
      <c r="K161" s="917"/>
      <c r="L161" s="918"/>
      <c r="M161" s="69"/>
      <c r="N161" s="69"/>
      <c r="O161" s="378"/>
    </row>
    <row r="162" spans="1:15" ht="15.75">
      <c r="A162" s="71"/>
      <c r="B162" s="224"/>
      <c r="C162" s="71"/>
      <c r="D162" s="71"/>
      <c r="E162" s="917"/>
      <c r="F162" s="918"/>
      <c r="G162" s="69"/>
      <c r="H162" s="69"/>
      <c r="I162" s="71"/>
      <c r="J162" s="71"/>
      <c r="K162" s="917"/>
      <c r="L162" s="918"/>
      <c r="M162" s="69"/>
      <c r="N162" s="69"/>
      <c r="O162" s="378"/>
    </row>
    <row r="163" spans="1:15" ht="15.75">
      <c r="A163" s="71"/>
      <c r="B163" s="224"/>
      <c r="C163" s="71"/>
      <c r="D163" s="71"/>
      <c r="E163" s="917"/>
      <c r="F163" s="918"/>
      <c r="G163" s="69"/>
      <c r="H163" s="69"/>
      <c r="I163" s="71"/>
      <c r="J163" s="71"/>
      <c r="K163" s="917"/>
      <c r="L163" s="918"/>
      <c r="M163" s="69"/>
      <c r="N163" s="69"/>
      <c r="O163" s="378"/>
    </row>
    <row r="164" spans="1:15" ht="15.75">
      <c r="A164" s="69"/>
      <c r="B164" s="222"/>
      <c r="C164" s="69"/>
      <c r="D164" s="71"/>
      <c r="E164" s="311"/>
      <c r="F164" s="311"/>
      <c r="G164" s="311"/>
      <c r="H164" s="311"/>
      <c r="I164" s="377"/>
      <c r="J164" s="71"/>
      <c r="K164" s="311"/>
      <c r="L164" s="311"/>
      <c r="M164" s="311"/>
      <c r="N164" s="311"/>
      <c r="O164" s="71"/>
    </row>
    <row r="165" spans="1:15" ht="15.75">
      <c r="A165" s="71"/>
      <c r="B165" s="224"/>
      <c r="C165" s="71"/>
      <c r="D165" s="71"/>
      <c r="E165" s="311"/>
      <c r="F165" s="311"/>
      <c r="G165" s="311"/>
      <c r="H165" s="311"/>
      <c r="I165" s="71"/>
      <c r="J165" s="71"/>
      <c r="K165" s="311"/>
      <c r="L165" s="311"/>
      <c r="M165" s="311"/>
      <c r="N165" s="311"/>
      <c r="O165" s="71"/>
    </row>
    <row r="166" spans="1:15" ht="15.75">
      <c r="A166" s="71"/>
      <c r="B166" s="224"/>
      <c r="C166" s="71"/>
      <c r="D166" s="71"/>
      <c r="E166" s="311"/>
      <c r="F166" s="311"/>
      <c r="G166" s="311"/>
      <c r="H166" s="311"/>
      <c r="I166" s="71"/>
      <c r="J166" s="71"/>
      <c r="K166" s="311"/>
      <c r="L166" s="311"/>
      <c r="M166" s="311"/>
      <c r="N166" s="311"/>
      <c r="O166" s="71"/>
    </row>
    <row r="167" spans="1:15" ht="15.75">
      <c r="A167" s="71"/>
      <c r="B167" s="224"/>
      <c r="C167" s="71"/>
      <c r="D167" s="71"/>
      <c r="E167" s="311"/>
      <c r="F167" s="311"/>
      <c r="G167" s="311"/>
      <c r="H167" s="311"/>
      <c r="I167" s="71"/>
      <c r="J167" s="71"/>
      <c r="K167" s="311"/>
      <c r="L167" s="311"/>
      <c r="M167" s="311"/>
      <c r="N167" s="311"/>
      <c r="O167" s="71"/>
    </row>
    <row r="168" spans="1:15" ht="15.75">
      <c r="A168" s="71"/>
      <c r="B168" s="224"/>
      <c r="C168" s="71"/>
      <c r="D168" s="71"/>
      <c r="E168" s="311"/>
      <c r="F168" s="311"/>
      <c r="G168" s="311"/>
      <c r="H168" s="311"/>
      <c r="I168" s="71"/>
      <c r="J168" s="71"/>
      <c r="K168" s="311"/>
      <c r="L168" s="311"/>
      <c r="M168" s="311"/>
      <c r="N168" s="311"/>
      <c r="O168" s="71"/>
    </row>
    <row r="169" spans="1:15" ht="15.75">
      <c r="A169" s="71"/>
      <c r="B169" s="224"/>
      <c r="C169" s="312"/>
      <c r="D169" s="71"/>
      <c r="E169" s="311"/>
      <c r="F169" s="311"/>
      <c r="G169" s="311"/>
      <c r="H169" s="311"/>
      <c r="I169" s="71"/>
      <c r="J169" s="71"/>
      <c r="K169" s="311"/>
      <c r="L169" s="311"/>
      <c r="M169" s="311"/>
      <c r="N169" s="311"/>
      <c r="O169" s="71"/>
    </row>
    <row r="170" spans="1:15" ht="15.75">
      <c r="A170" s="71"/>
      <c r="B170" s="224"/>
      <c r="C170" s="71"/>
      <c r="D170" s="71"/>
      <c r="E170" s="311"/>
      <c r="F170" s="311"/>
      <c r="G170" s="311"/>
      <c r="H170" s="311"/>
      <c r="I170" s="71"/>
      <c r="J170" s="71"/>
      <c r="K170" s="311"/>
      <c r="L170" s="311"/>
      <c r="M170" s="311"/>
      <c r="N170" s="311"/>
      <c r="O170" s="377"/>
    </row>
    <row r="171" ht="15">
      <c r="A171" s="345"/>
    </row>
    <row r="172" ht="15">
      <c r="A172" s="345"/>
    </row>
    <row r="173" ht="15">
      <c r="A173" s="345"/>
    </row>
  </sheetData>
  <printOptions/>
  <pageMargins left="0" right="0" top="0" bottom="0.7874015748031497" header="0.5118110236220472" footer="0.5118110236220472"/>
  <pageSetup horizontalDpi="600" verticalDpi="600" orientation="landscape" paperSize="9" scale="92" r:id="rId3"/>
  <rowBreaks count="4" manualBreakCount="4">
    <brk id="32" max="255" man="1"/>
    <brk id="63" max="255" man="1"/>
    <brk id="127" max="255" man="1"/>
    <brk id="156" max="255" man="1"/>
  </rowBreaks>
  <colBreaks count="1" manualBreakCount="1">
    <brk id="1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94"/>
  <sheetViews>
    <sheetView workbookViewId="0" topLeftCell="I131">
      <selection activeCell="P142" sqref="P142"/>
    </sheetView>
  </sheetViews>
  <sheetFormatPr defaultColWidth="9.00390625" defaultRowHeight="18" customHeight="1"/>
  <cols>
    <col min="1" max="1" width="10.00390625" style="26" hidden="1" customWidth="1"/>
    <col min="2" max="2" width="34.125" style="26" customWidth="1"/>
    <col min="3" max="3" width="6.125" style="26" customWidth="1"/>
    <col min="4" max="4" width="5.375" style="26" customWidth="1"/>
    <col min="5" max="5" width="7.875" style="26" customWidth="1"/>
    <col min="6" max="6" width="10.25390625" style="315" customWidth="1"/>
    <col min="7" max="7" width="10.875" style="315" customWidth="1"/>
    <col min="8" max="8" width="7.875" style="26" hidden="1" customWidth="1"/>
    <col min="9" max="9" width="12.25390625" style="315" customWidth="1"/>
    <col min="10" max="10" width="11.625" style="315" customWidth="1"/>
    <col min="11" max="11" width="12.25390625" style="315" customWidth="1"/>
    <col min="12" max="12" width="16.375" style="0" customWidth="1"/>
    <col min="16" max="16" width="16.125" style="433" customWidth="1"/>
    <col min="17" max="17" width="13.875" style="0" customWidth="1"/>
    <col min="18" max="18" width="13.75390625" style="433" customWidth="1"/>
    <col min="19" max="19" width="16.25390625" style="0" customWidth="1"/>
    <col min="50" max="16384" width="9.125" style="26" customWidth="1"/>
  </cols>
  <sheetData>
    <row r="1" spans="1:71" s="319" customFormat="1" ht="18" customHeight="1">
      <c r="A1" s="247" t="s">
        <v>77</v>
      </c>
      <c r="B1" s="247" t="s">
        <v>77</v>
      </c>
      <c r="C1" s="248"/>
      <c r="D1" s="249"/>
      <c r="E1" s="249"/>
      <c r="F1" s="251"/>
      <c r="G1" s="251"/>
      <c r="H1" s="26"/>
      <c r="I1" s="251"/>
      <c r="J1" s="251"/>
      <c r="K1" s="251"/>
      <c r="L1"/>
      <c r="M1"/>
      <c r="N1"/>
      <c r="O1"/>
      <c r="P1" s="433"/>
      <c r="Q1"/>
      <c r="R1" s="43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</row>
    <row r="2" spans="1:71" s="319" customFormat="1" ht="18" customHeight="1">
      <c r="A2" s="248"/>
      <c r="B2" s="248"/>
      <c r="C2" s="248"/>
      <c r="D2" s="248"/>
      <c r="E2" s="248"/>
      <c r="F2" s="320"/>
      <c r="G2" s="320"/>
      <c r="H2" s="26"/>
      <c r="I2" s="320"/>
      <c r="J2" s="320"/>
      <c r="K2" s="320"/>
      <c r="L2"/>
      <c r="M2"/>
      <c r="N2"/>
      <c r="O2"/>
      <c r="P2" s="433"/>
      <c r="Q2"/>
      <c r="R2" s="43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1:71" s="319" customFormat="1" ht="18" customHeight="1">
      <c r="A3" s="247" t="s">
        <v>127</v>
      </c>
      <c r="B3" s="327" t="s">
        <v>446</v>
      </c>
      <c r="C3" s="248"/>
      <c r="D3" s="249"/>
      <c r="E3" s="249"/>
      <c r="F3" s="251"/>
      <c r="G3" s="251"/>
      <c r="H3" s="26"/>
      <c r="I3" s="313"/>
      <c r="J3" s="313"/>
      <c r="K3" s="313" t="s">
        <v>936</v>
      </c>
      <c r="L3"/>
      <c r="M3"/>
      <c r="N3"/>
      <c r="O3"/>
      <c r="P3" s="433"/>
      <c r="Q3"/>
      <c r="R3" s="43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1:71" s="321" customFormat="1" ht="18" customHeight="1" thickBot="1">
      <c r="A4" s="249"/>
      <c r="B4" s="248"/>
      <c r="C4" s="249"/>
      <c r="D4" s="249"/>
      <c r="E4" s="250"/>
      <c r="F4" s="251"/>
      <c r="G4" s="251"/>
      <c r="H4" s="26"/>
      <c r="I4" s="251"/>
      <c r="J4" s="251"/>
      <c r="K4" s="251" t="s">
        <v>128</v>
      </c>
      <c r="L4"/>
      <c r="M4"/>
      <c r="N4"/>
      <c r="O4"/>
      <c r="P4" s="433"/>
      <c r="Q4"/>
      <c r="R4" s="43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1:71" s="322" customFormat="1" ht="18" customHeight="1">
      <c r="A5" s="252"/>
      <c r="B5" s="253"/>
      <c r="C5" s="254" t="s">
        <v>129</v>
      </c>
      <c r="D5" s="255" t="s">
        <v>130</v>
      </c>
      <c r="E5" s="256" t="s">
        <v>131</v>
      </c>
      <c r="F5" s="257" t="s">
        <v>2</v>
      </c>
      <c r="G5" s="257" t="s">
        <v>29</v>
      </c>
      <c r="H5" s="324"/>
      <c r="I5" s="257" t="s">
        <v>443</v>
      </c>
      <c r="J5" s="257" t="s">
        <v>2</v>
      </c>
      <c r="K5" s="257" t="s">
        <v>503</v>
      </c>
      <c r="L5"/>
      <c r="M5"/>
      <c r="N5"/>
      <c r="O5"/>
      <c r="P5" s="433"/>
      <c r="Q5"/>
      <c r="R5" s="43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1:71" s="322" customFormat="1" ht="18" customHeight="1">
      <c r="A6" s="258"/>
      <c r="B6" s="259" t="s">
        <v>132</v>
      </c>
      <c r="C6" s="260" t="s">
        <v>133</v>
      </c>
      <c r="D6" s="261" t="s">
        <v>134</v>
      </c>
      <c r="E6" s="262" t="s">
        <v>135</v>
      </c>
      <c r="F6" s="263" t="s">
        <v>80</v>
      </c>
      <c r="G6" s="263" t="s">
        <v>81</v>
      </c>
      <c r="H6" s="319"/>
      <c r="I6" s="263" t="s">
        <v>81</v>
      </c>
      <c r="J6" s="263" t="s">
        <v>80</v>
      </c>
      <c r="K6" s="263" t="s">
        <v>81</v>
      </c>
      <c r="L6"/>
      <c r="M6"/>
      <c r="N6"/>
      <c r="O6"/>
      <c r="P6" s="433"/>
      <c r="Q6"/>
      <c r="R6" s="43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1" s="326" customFormat="1" ht="18" customHeight="1" thickBot="1">
      <c r="A7" s="348"/>
      <c r="B7" s="264"/>
      <c r="C7" s="265"/>
      <c r="D7" s="266"/>
      <c r="E7" s="267" t="s">
        <v>136</v>
      </c>
      <c r="F7" s="268" t="s">
        <v>494</v>
      </c>
      <c r="G7" s="268" t="s">
        <v>5</v>
      </c>
      <c r="H7" s="325"/>
      <c r="I7" s="268" t="s">
        <v>5</v>
      </c>
      <c r="J7" s="268">
        <v>2006</v>
      </c>
      <c r="K7" s="268" t="s">
        <v>504</v>
      </c>
      <c r="L7"/>
      <c r="M7"/>
      <c r="N7"/>
      <c r="O7"/>
      <c r="P7" s="433"/>
      <c r="Q7"/>
      <c r="R7" s="43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 spans="1:49" s="322" customFormat="1" ht="18" customHeight="1">
      <c r="A8" s="273" t="s">
        <v>137</v>
      </c>
      <c r="B8" s="357" t="s">
        <v>138</v>
      </c>
      <c r="C8" s="269" t="s">
        <v>139</v>
      </c>
      <c r="D8" s="269" t="s">
        <v>140</v>
      </c>
      <c r="E8" s="270">
        <v>7640</v>
      </c>
      <c r="F8" s="271">
        <v>0</v>
      </c>
      <c r="G8" s="271">
        <v>0</v>
      </c>
      <c r="H8" s="358"/>
      <c r="I8" s="271">
        <v>0</v>
      </c>
      <c r="J8" s="271">
        <v>0</v>
      </c>
      <c r="K8" s="271">
        <v>0</v>
      </c>
      <c r="L8"/>
      <c r="M8"/>
      <c r="N8"/>
      <c r="O8"/>
      <c r="P8" s="433"/>
      <c r="Q8"/>
      <c r="R8" s="43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322" customFormat="1" ht="18" customHeight="1">
      <c r="A9" s="273"/>
      <c r="B9" s="316" t="s">
        <v>141</v>
      </c>
      <c r="C9" s="273" t="s">
        <v>142</v>
      </c>
      <c r="D9" s="273" t="s">
        <v>143</v>
      </c>
      <c r="E9" s="275">
        <v>6585</v>
      </c>
      <c r="F9" s="277">
        <v>1175</v>
      </c>
      <c r="G9" s="277">
        <v>1175</v>
      </c>
      <c r="I9" s="277">
        <v>1175</v>
      </c>
      <c r="J9" s="277">
        <v>1175</v>
      </c>
      <c r="K9" s="277">
        <v>1061</v>
      </c>
      <c r="L9"/>
      <c r="M9"/>
      <c r="N9"/>
      <c r="O9"/>
      <c r="P9" s="433"/>
      <c r="Q9"/>
      <c r="R9" s="43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322" customFormat="1" ht="18" customHeight="1">
      <c r="A10" s="349">
        <v>9801</v>
      </c>
      <c r="B10" s="350" t="s">
        <v>144</v>
      </c>
      <c r="C10" s="349" t="s">
        <v>145</v>
      </c>
      <c r="D10" s="349" t="s">
        <v>146</v>
      </c>
      <c r="E10" s="351">
        <v>7587</v>
      </c>
      <c r="F10" s="352">
        <v>2500</v>
      </c>
      <c r="G10" s="283">
        <v>3288</v>
      </c>
      <c r="I10" s="283">
        <v>3288</v>
      </c>
      <c r="J10" s="283">
        <v>3288</v>
      </c>
      <c r="K10" s="283">
        <v>3402</v>
      </c>
      <c r="L10"/>
      <c r="M10"/>
      <c r="N10"/>
      <c r="O10"/>
      <c r="P10" s="433"/>
      <c r="Q10"/>
      <c r="R10" s="43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322" customFormat="1" ht="18" customHeight="1">
      <c r="A11" s="273" t="s">
        <v>147</v>
      </c>
      <c r="B11" s="318" t="s">
        <v>148</v>
      </c>
      <c r="C11" s="273" t="s">
        <v>149</v>
      </c>
      <c r="D11" s="273" t="s">
        <v>150</v>
      </c>
      <c r="E11" s="274">
        <v>391</v>
      </c>
      <c r="F11" s="275">
        <v>0</v>
      </c>
      <c r="G11" s="275">
        <v>0</v>
      </c>
      <c r="I11" s="275">
        <v>0</v>
      </c>
      <c r="J11" s="275">
        <v>0</v>
      </c>
      <c r="K11" s="275">
        <v>0</v>
      </c>
      <c r="L11"/>
      <c r="M11"/>
      <c r="N11"/>
      <c r="O11"/>
      <c r="P11" s="433"/>
      <c r="Q11"/>
      <c r="R11" s="43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322" customFormat="1" ht="18" customHeight="1">
      <c r="A12" s="273"/>
      <c r="B12" s="318" t="s">
        <v>441</v>
      </c>
      <c r="C12" s="273" t="s">
        <v>139</v>
      </c>
      <c r="D12" s="273" t="s">
        <v>150</v>
      </c>
      <c r="E12" s="274">
        <v>780</v>
      </c>
      <c r="F12" s="275">
        <v>0</v>
      </c>
      <c r="G12" s="275">
        <v>0</v>
      </c>
      <c r="I12" s="275">
        <v>4</v>
      </c>
      <c r="J12" s="275">
        <f>4+3900</f>
        <v>3904</v>
      </c>
      <c r="K12" s="275">
        <v>4</v>
      </c>
      <c r="L12"/>
      <c r="M12"/>
      <c r="N12"/>
      <c r="O12"/>
      <c r="P12" s="433"/>
      <c r="Q12"/>
      <c r="R12" s="43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322" customFormat="1" ht="18" customHeight="1">
      <c r="A13" s="273" t="s">
        <v>151</v>
      </c>
      <c r="B13" s="318" t="s">
        <v>152</v>
      </c>
      <c r="C13" s="273" t="s">
        <v>153</v>
      </c>
      <c r="D13" s="273" t="s">
        <v>154</v>
      </c>
      <c r="E13" s="274">
        <v>1368</v>
      </c>
      <c r="F13" s="275">
        <v>0</v>
      </c>
      <c r="G13" s="275">
        <v>0</v>
      </c>
      <c r="I13" s="275">
        <v>0</v>
      </c>
      <c r="J13" s="275">
        <v>0</v>
      </c>
      <c r="K13" s="275">
        <v>0</v>
      </c>
      <c r="L13"/>
      <c r="M13"/>
      <c r="N13"/>
      <c r="O13"/>
      <c r="P13" s="433"/>
      <c r="Q13"/>
      <c r="R13" s="43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322" customFormat="1" ht="18" customHeight="1">
      <c r="A14" s="273"/>
      <c r="B14" s="318" t="s">
        <v>456</v>
      </c>
      <c r="C14" s="273" t="s">
        <v>164</v>
      </c>
      <c r="D14" s="273" t="s">
        <v>457</v>
      </c>
      <c r="E14" s="274">
        <v>3013</v>
      </c>
      <c r="F14" s="275">
        <v>0</v>
      </c>
      <c r="G14" s="275">
        <v>0</v>
      </c>
      <c r="I14" s="275">
        <v>36</v>
      </c>
      <c r="J14" s="275">
        <v>36</v>
      </c>
      <c r="K14" s="275">
        <v>36</v>
      </c>
      <c r="L14"/>
      <c r="M14"/>
      <c r="N14"/>
      <c r="O14"/>
      <c r="P14" s="433"/>
      <c r="Q14"/>
      <c r="R14" s="43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322" customFormat="1" ht="18" customHeight="1">
      <c r="A15" s="273"/>
      <c r="B15" s="318" t="s">
        <v>155</v>
      </c>
      <c r="C15" s="273" t="s">
        <v>156</v>
      </c>
      <c r="D15" s="273" t="s">
        <v>157</v>
      </c>
      <c r="E15" s="274">
        <v>572</v>
      </c>
      <c r="F15" s="275">
        <v>0</v>
      </c>
      <c r="G15" s="275">
        <v>0</v>
      </c>
      <c r="I15" s="275">
        <v>2236</v>
      </c>
      <c r="J15" s="275">
        <f>2236+2473</f>
        <v>4709</v>
      </c>
      <c r="K15" s="275">
        <v>2463</v>
      </c>
      <c r="L15"/>
      <c r="M15"/>
      <c r="N15"/>
      <c r="O15"/>
      <c r="P15" s="433"/>
      <c r="Q15"/>
      <c r="R15" s="43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322" customFormat="1" ht="18" customHeight="1">
      <c r="A16" s="273" t="s">
        <v>159</v>
      </c>
      <c r="B16" s="318" t="s">
        <v>160</v>
      </c>
      <c r="C16" s="273" t="s">
        <v>161</v>
      </c>
      <c r="D16" s="273" t="s">
        <v>143</v>
      </c>
      <c r="E16" s="274">
        <v>94938</v>
      </c>
      <c r="F16" s="275">
        <v>0</v>
      </c>
      <c r="G16" s="275">
        <v>0</v>
      </c>
      <c r="I16" s="275">
        <v>0</v>
      </c>
      <c r="J16" s="275">
        <v>0</v>
      </c>
      <c r="K16" s="275">
        <v>0</v>
      </c>
      <c r="L16"/>
      <c r="M16"/>
      <c r="N16"/>
      <c r="O16"/>
      <c r="P16" s="433"/>
      <c r="Q16"/>
      <c r="R16" s="43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322" customFormat="1" ht="18" customHeight="1">
      <c r="A17" s="273" t="s">
        <v>162</v>
      </c>
      <c r="B17" s="316" t="s">
        <v>163</v>
      </c>
      <c r="C17" s="273" t="s">
        <v>164</v>
      </c>
      <c r="D17" s="273" t="s">
        <v>165</v>
      </c>
      <c r="E17" s="275">
        <v>14767</v>
      </c>
      <c r="F17" s="277">
        <v>0</v>
      </c>
      <c r="G17" s="277">
        <v>0</v>
      </c>
      <c r="I17" s="277">
        <v>7253</v>
      </c>
      <c r="J17" s="277">
        <v>7253</v>
      </c>
      <c r="K17" s="277">
        <v>4697</v>
      </c>
      <c r="L17"/>
      <c r="M17"/>
      <c r="N17"/>
      <c r="O17"/>
      <c r="P17" s="433"/>
      <c r="Q17"/>
      <c r="R17" s="43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322" customFormat="1" ht="18" customHeight="1">
      <c r="A18" s="273" t="s">
        <v>166</v>
      </c>
      <c r="B18" s="318" t="s">
        <v>167</v>
      </c>
      <c r="C18" s="273" t="s">
        <v>168</v>
      </c>
      <c r="D18" s="273" t="s">
        <v>143</v>
      </c>
      <c r="E18" s="274">
        <v>69206</v>
      </c>
      <c r="F18" s="275">
        <v>0</v>
      </c>
      <c r="G18" s="275">
        <v>0</v>
      </c>
      <c r="I18" s="275">
        <v>0</v>
      </c>
      <c r="J18" s="275">
        <v>0</v>
      </c>
      <c r="K18" s="275">
        <v>0</v>
      </c>
      <c r="L18"/>
      <c r="M18"/>
      <c r="N18"/>
      <c r="O18"/>
      <c r="P18" s="433"/>
      <c r="Q18"/>
      <c r="R18" s="43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322" customFormat="1" ht="18" customHeight="1">
      <c r="A19" s="273" t="s">
        <v>169</v>
      </c>
      <c r="B19" s="318" t="s">
        <v>170</v>
      </c>
      <c r="C19" s="273" t="s">
        <v>171</v>
      </c>
      <c r="D19" s="273" t="s">
        <v>143</v>
      </c>
      <c r="E19" s="274">
        <v>8086</v>
      </c>
      <c r="F19" s="275">
        <v>0</v>
      </c>
      <c r="G19" s="275">
        <v>0</v>
      </c>
      <c r="I19" s="275">
        <v>0</v>
      </c>
      <c r="J19" s="275">
        <v>0</v>
      </c>
      <c r="K19" s="275">
        <v>0</v>
      </c>
      <c r="L19"/>
      <c r="M19"/>
      <c r="N19"/>
      <c r="O19"/>
      <c r="P19" s="433"/>
      <c r="Q19"/>
      <c r="R19" s="43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322" customFormat="1" ht="18" customHeight="1">
      <c r="A20" s="273" t="s">
        <v>172</v>
      </c>
      <c r="B20" s="318" t="s">
        <v>173</v>
      </c>
      <c r="C20" s="273" t="s">
        <v>139</v>
      </c>
      <c r="D20" s="273" t="s">
        <v>143</v>
      </c>
      <c r="E20" s="274">
        <v>3109</v>
      </c>
      <c r="F20" s="275">
        <v>0</v>
      </c>
      <c r="G20" s="275">
        <v>0</v>
      </c>
      <c r="I20" s="275">
        <v>0</v>
      </c>
      <c r="J20" s="275">
        <v>0</v>
      </c>
      <c r="K20" s="275">
        <v>0</v>
      </c>
      <c r="L20"/>
      <c r="M20"/>
      <c r="N20"/>
      <c r="O20"/>
      <c r="P20" s="433"/>
      <c r="Q20"/>
      <c r="R20" s="43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322" customFormat="1" ht="18" customHeight="1">
      <c r="A21" s="273" t="s">
        <v>174</v>
      </c>
      <c r="B21" s="318" t="s">
        <v>175</v>
      </c>
      <c r="C21" s="273" t="s">
        <v>176</v>
      </c>
      <c r="D21" s="273" t="s">
        <v>143</v>
      </c>
      <c r="E21" s="274">
        <v>19895</v>
      </c>
      <c r="F21" s="275">
        <v>0</v>
      </c>
      <c r="G21" s="275">
        <v>0</v>
      </c>
      <c r="I21" s="275">
        <v>0</v>
      </c>
      <c r="J21" s="275">
        <v>0</v>
      </c>
      <c r="K21" s="275">
        <v>0</v>
      </c>
      <c r="L21"/>
      <c r="M21"/>
      <c r="N21"/>
      <c r="O21"/>
      <c r="P21" s="433"/>
      <c r="Q21"/>
      <c r="R21" s="43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322" customFormat="1" ht="18" customHeight="1">
      <c r="A22" s="273"/>
      <c r="B22" s="318" t="s">
        <v>177</v>
      </c>
      <c r="C22" s="273" t="s">
        <v>178</v>
      </c>
      <c r="D22" s="273" t="s">
        <v>179</v>
      </c>
      <c r="E22" s="274">
        <v>1939</v>
      </c>
      <c r="F22" s="275">
        <v>0</v>
      </c>
      <c r="G22" s="275">
        <v>0</v>
      </c>
      <c r="I22" s="275">
        <v>0</v>
      </c>
      <c r="J22" s="275">
        <v>0</v>
      </c>
      <c r="K22" s="275">
        <v>0</v>
      </c>
      <c r="L22"/>
      <c r="M22"/>
      <c r="N22"/>
      <c r="O22"/>
      <c r="P22" s="433"/>
      <c r="Q22"/>
      <c r="R22" s="43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322" customFormat="1" ht="18" customHeight="1">
      <c r="A23" s="273"/>
      <c r="B23" s="318" t="s">
        <v>180</v>
      </c>
      <c r="C23" s="273" t="s">
        <v>181</v>
      </c>
      <c r="D23" s="273" t="s">
        <v>143</v>
      </c>
      <c r="E23" s="274">
        <v>19481</v>
      </c>
      <c r="F23" s="275">
        <v>0</v>
      </c>
      <c r="G23" s="275">
        <v>0</v>
      </c>
      <c r="I23" s="275">
        <v>0</v>
      </c>
      <c r="J23" s="275">
        <v>0</v>
      </c>
      <c r="K23" s="275">
        <v>0</v>
      </c>
      <c r="L23"/>
      <c r="M23"/>
      <c r="N23"/>
      <c r="O23"/>
      <c r="P23" s="433"/>
      <c r="Q23"/>
      <c r="R23" s="43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322" customFormat="1" ht="18" customHeight="1">
      <c r="A24" s="273"/>
      <c r="B24" s="316" t="s">
        <v>182</v>
      </c>
      <c r="C24" s="273" t="s">
        <v>183</v>
      </c>
      <c r="D24" s="273" t="s">
        <v>143</v>
      </c>
      <c r="E24" s="275">
        <v>30055</v>
      </c>
      <c r="F24" s="277">
        <v>15000</v>
      </c>
      <c r="G24" s="277">
        <v>30055</v>
      </c>
      <c r="I24" s="277">
        <v>22100</v>
      </c>
      <c r="J24" s="277">
        <f>22100+2000</f>
        <v>24100</v>
      </c>
      <c r="K24" s="277">
        <v>25653</v>
      </c>
      <c r="L24"/>
      <c r="M24"/>
      <c r="N24"/>
      <c r="O24"/>
      <c r="P24" s="433"/>
      <c r="Q24"/>
      <c r="R24" s="43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22" customFormat="1" ht="18" customHeight="1">
      <c r="A25" s="273" t="s">
        <v>184</v>
      </c>
      <c r="B25" s="316" t="s">
        <v>185</v>
      </c>
      <c r="C25" s="273" t="s">
        <v>176</v>
      </c>
      <c r="D25" s="273" t="s">
        <v>186</v>
      </c>
      <c r="E25" s="275">
        <v>14775</v>
      </c>
      <c r="F25" s="277">
        <v>0</v>
      </c>
      <c r="G25" s="277">
        <v>0</v>
      </c>
      <c r="I25" s="277">
        <v>0</v>
      </c>
      <c r="J25" s="277">
        <v>0</v>
      </c>
      <c r="K25" s="277">
        <v>0</v>
      </c>
      <c r="L25"/>
      <c r="M25"/>
      <c r="N25"/>
      <c r="O25"/>
      <c r="P25" s="433"/>
      <c r="Q25"/>
      <c r="R25" s="43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22" customFormat="1" ht="18" customHeight="1">
      <c r="A26" s="273"/>
      <c r="B26" s="318" t="s">
        <v>187</v>
      </c>
      <c r="C26" s="273" t="s">
        <v>181</v>
      </c>
      <c r="D26" s="273" t="s">
        <v>186</v>
      </c>
      <c r="E26" s="274">
        <v>6682</v>
      </c>
      <c r="F26" s="275">
        <v>0</v>
      </c>
      <c r="G26" s="275">
        <v>0</v>
      </c>
      <c r="I26" s="275">
        <v>0</v>
      </c>
      <c r="J26" s="275">
        <v>0</v>
      </c>
      <c r="K26" s="275">
        <v>0</v>
      </c>
      <c r="L26"/>
      <c r="M26"/>
      <c r="N26"/>
      <c r="O26"/>
      <c r="P26" s="433"/>
      <c r="Q26"/>
      <c r="R26" s="43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322" customFormat="1" ht="18" customHeight="1">
      <c r="A27" s="273"/>
      <c r="B27" s="318" t="s">
        <v>188</v>
      </c>
      <c r="C27" s="273" t="s">
        <v>189</v>
      </c>
      <c r="D27" s="273" t="s">
        <v>186</v>
      </c>
      <c r="E27" s="274">
        <v>5800</v>
      </c>
      <c r="F27" s="275">
        <v>0</v>
      </c>
      <c r="G27" s="275">
        <v>1032</v>
      </c>
      <c r="I27" s="275">
        <v>1032</v>
      </c>
      <c r="J27" s="275">
        <v>1032</v>
      </c>
      <c r="K27" s="275">
        <v>1029</v>
      </c>
      <c r="L27"/>
      <c r="M27"/>
      <c r="N27"/>
      <c r="O27"/>
      <c r="P27" s="433"/>
      <c r="Q27"/>
      <c r="R27" s="43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322" customFormat="1" ht="18" customHeight="1">
      <c r="A28" s="273"/>
      <c r="B28" s="318" t="s">
        <v>190</v>
      </c>
      <c r="C28" s="273" t="s">
        <v>142</v>
      </c>
      <c r="D28" s="273" t="s">
        <v>186</v>
      </c>
      <c r="E28" s="274">
        <v>7000</v>
      </c>
      <c r="F28" s="275">
        <v>0</v>
      </c>
      <c r="G28" s="275">
        <v>1032</v>
      </c>
      <c r="I28" s="275">
        <v>1032</v>
      </c>
      <c r="J28" s="275">
        <v>1032</v>
      </c>
      <c r="K28" s="275">
        <v>0</v>
      </c>
      <c r="L28"/>
      <c r="M28"/>
      <c r="N28"/>
      <c r="O28"/>
      <c r="P28" s="433"/>
      <c r="Q28"/>
      <c r="R28" s="43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322" customFormat="1" ht="18" customHeight="1">
      <c r="A29" s="273"/>
      <c r="B29" s="318" t="s">
        <v>191</v>
      </c>
      <c r="C29" s="273" t="s">
        <v>189</v>
      </c>
      <c r="D29" s="273" t="s">
        <v>186</v>
      </c>
      <c r="E29" s="274">
        <v>3950</v>
      </c>
      <c r="F29" s="275">
        <v>0</v>
      </c>
      <c r="G29" s="275">
        <v>1032</v>
      </c>
      <c r="I29" s="275">
        <v>1032</v>
      </c>
      <c r="J29" s="275">
        <v>1032</v>
      </c>
      <c r="K29" s="275">
        <v>0</v>
      </c>
      <c r="L29"/>
      <c r="M29"/>
      <c r="N29"/>
      <c r="O29"/>
      <c r="P29" s="433"/>
      <c r="Q29"/>
      <c r="R29" s="43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322" customFormat="1" ht="18" customHeight="1">
      <c r="A30" s="273"/>
      <c r="B30" s="318" t="s">
        <v>192</v>
      </c>
      <c r="C30" s="273" t="s">
        <v>139</v>
      </c>
      <c r="D30" s="273" t="s">
        <v>186</v>
      </c>
      <c r="E30" s="274">
        <v>3750</v>
      </c>
      <c r="F30" s="275">
        <v>0</v>
      </c>
      <c r="G30" s="275">
        <v>1032</v>
      </c>
      <c r="I30" s="275">
        <v>1032</v>
      </c>
      <c r="J30" s="275">
        <v>1032</v>
      </c>
      <c r="K30" s="275">
        <v>0</v>
      </c>
      <c r="L30"/>
      <c r="M30"/>
      <c r="N30"/>
      <c r="O30"/>
      <c r="P30" s="433"/>
      <c r="Q30"/>
      <c r="R30" s="43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322" customFormat="1" ht="18" customHeight="1">
      <c r="A31" s="273"/>
      <c r="B31" s="318" t="s">
        <v>193</v>
      </c>
      <c r="C31" s="273" t="s">
        <v>142</v>
      </c>
      <c r="D31" s="273" t="s">
        <v>186</v>
      </c>
      <c r="E31" s="274">
        <v>4800</v>
      </c>
      <c r="F31" s="275">
        <v>0</v>
      </c>
      <c r="G31" s="283">
        <v>0</v>
      </c>
      <c r="I31" s="283">
        <v>0</v>
      </c>
      <c r="J31" s="283">
        <v>0</v>
      </c>
      <c r="K31" s="283">
        <v>0</v>
      </c>
      <c r="L31"/>
      <c r="M31"/>
      <c r="N31"/>
      <c r="O31"/>
      <c r="P31" s="433"/>
      <c r="Q31"/>
      <c r="R31" s="43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322" customFormat="1" ht="18" customHeight="1">
      <c r="A32" s="273"/>
      <c r="B32" s="318" t="s">
        <v>194</v>
      </c>
      <c r="C32" s="273" t="s">
        <v>142</v>
      </c>
      <c r="D32" s="273" t="s">
        <v>186</v>
      </c>
      <c r="E32" s="274">
        <v>2000</v>
      </c>
      <c r="F32" s="275">
        <v>0</v>
      </c>
      <c r="G32" s="275">
        <v>1032</v>
      </c>
      <c r="I32" s="275">
        <v>1032</v>
      </c>
      <c r="J32" s="275">
        <v>1032</v>
      </c>
      <c r="K32" s="275">
        <v>977</v>
      </c>
      <c r="L32"/>
      <c r="M32"/>
      <c r="N32"/>
      <c r="O32"/>
      <c r="P32" s="433"/>
      <c r="Q32"/>
      <c r="R32" s="43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322" customFormat="1" ht="18" customHeight="1">
      <c r="A33" s="273"/>
      <c r="B33" s="318" t="s">
        <v>195</v>
      </c>
      <c r="C33" s="273" t="s">
        <v>142</v>
      </c>
      <c r="D33" s="273" t="s">
        <v>186</v>
      </c>
      <c r="E33" s="274">
        <v>5500</v>
      </c>
      <c r="F33" s="275">
        <v>0</v>
      </c>
      <c r="G33" s="275">
        <v>1032</v>
      </c>
      <c r="I33" s="275">
        <v>1032</v>
      </c>
      <c r="J33" s="275">
        <v>1032</v>
      </c>
      <c r="K33" s="275">
        <v>0</v>
      </c>
      <c r="L33"/>
      <c r="M33"/>
      <c r="N33"/>
      <c r="O33"/>
      <c r="P33" s="433"/>
      <c r="Q33"/>
      <c r="R33" s="4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322" customFormat="1" ht="18" customHeight="1">
      <c r="A34" s="273"/>
      <c r="B34" s="316" t="s">
        <v>196</v>
      </c>
      <c r="C34" s="273" t="s">
        <v>142</v>
      </c>
      <c r="D34" s="273" t="s">
        <v>186</v>
      </c>
      <c r="E34" s="275">
        <v>3800</v>
      </c>
      <c r="F34" s="277">
        <v>0</v>
      </c>
      <c r="G34" s="283">
        <v>1032</v>
      </c>
      <c r="I34" s="283">
        <v>1032</v>
      </c>
      <c r="J34" s="283">
        <v>1032</v>
      </c>
      <c r="K34" s="283">
        <v>0</v>
      </c>
      <c r="L34"/>
      <c r="M34"/>
      <c r="N34"/>
      <c r="O34"/>
      <c r="P34" s="433"/>
      <c r="Q34"/>
      <c r="R34" s="43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322" customFormat="1" ht="18" customHeight="1">
      <c r="A35" s="273"/>
      <c r="B35" s="318" t="s">
        <v>197</v>
      </c>
      <c r="C35" s="273" t="s">
        <v>142</v>
      </c>
      <c r="D35" s="273" t="s">
        <v>186</v>
      </c>
      <c r="E35" s="274">
        <v>3000</v>
      </c>
      <c r="F35" s="275">
        <v>0</v>
      </c>
      <c r="G35" s="275">
        <v>1032</v>
      </c>
      <c r="I35" s="275">
        <v>1032</v>
      </c>
      <c r="J35" s="275">
        <v>1032</v>
      </c>
      <c r="K35" s="275">
        <v>93</v>
      </c>
      <c r="L35"/>
      <c r="M35"/>
      <c r="N35"/>
      <c r="O35"/>
      <c r="P35" s="433"/>
      <c r="Q35"/>
      <c r="R35" s="43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322" customFormat="1" ht="18" customHeight="1">
      <c r="A36" s="273"/>
      <c r="B36" s="318" t="s">
        <v>198</v>
      </c>
      <c r="C36" s="273" t="s">
        <v>156</v>
      </c>
      <c r="D36" s="273" t="s">
        <v>199</v>
      </c>
      <c r="E36" s="274">
        <v>6240</v>
      </c>
      <c r="F36" s="275">
        <v>0</v>
      </c>
      <c r="G36" s="275">
        <v>1032</v>
      </c>
      <c r="I36" s="275">
        <v>1032</v>
      </c>
      <c r="J36" s="275">
        <v>1032</v>
      </c>
      <c r="K36" s="275">
        <v>80</v>
      </c>
      <c r="L36"/>
      <c r="M36"/>
      <c r="N36"/>
      <c r="O36"/>
      <c r="P36" s="433"/>
      <c r="Q36"/>
      <c r="R36" s="43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322" customFormat="1" ht="18" customHeight="1">
      <c r="A37" s="273"/>
      <c r="B37" s="318" t="s">
        <v>200</v>
      </c>
      <c r="C37" s="273" t="s">
        <v>142</v>
      </c>
      <c r="D37" s="273" t="s">
        <v>186</v>
      </c>
      <c r="E37" s="274">
        <v>2100</v>
      </c>
      <c r="F37" s="275">
        <v>0</v>
      </c>
      <c r="G37" s="275">
        <v>1032</v>
      </c>
      <c r="I37" s="275">
        <v>1032</v>
      </c>
      <c r="J37" s="275">
        <v>1032</v>
      </c>
      <c r="K37" s="275">
        <v>0</v>
      </c>
      <c r="L37"/>
      <c r="M37"/>
      <c r="N37"/>
      <c r="O37"/>
      <c r="P37" s="433"/>
      <c r="Q37"/>
      <c r="R37" s="43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322" customFormat="1" ht="18" customHeight="1">
      <c r="A38" s="273"/>
      <c r="B38" s="318" t="s">
        <v>201</v>
      </c>
      <c r="C38" s="273" t="s">
        <v>142</v>
      </c>
      <c r="D38" s="273" t="s">
        <v>186</v>
      </c>
      <c r="E38" s="274">
        <v>6900</v>
      </c>
      <c r="F38" s="275">
        <v>0</v>
      </c>
      <c r="G38" s="275">
        <v>1032</v>
      </c>
      <c r="I38" s="275">
        <v>2032</v>
      </c>
      <c r="J38" s="275">
        <v>2032</v>
      </c>
      <c r="K38" s="275">
        <v>1609</v>
      </c>
      <c r="L38"/>
      <c r="M38"/>
      <c r="N38"/>
      <c r="O38"/>
      <c r="P38" s="433"/>
      <c r="Q38"/>
      <c r="R38" s="43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322" customFormat="1" ht="18" customHeight="1">
      <c r="A39" s="273"/>
      <c r="B39" s="318" t="s">
        <v>202</v>
      </c>
      <c r="C39" s="273" t="s">
        <v>142</v>
      </c>
      <c r="D39" s="273" t="s">
        <v>186</v>
      </c>
      <c r="E39" s="274">
        <v>1200</v>
      </c>
      <c r="F39" s="275">
        <v>0</v>
      </c>
      <c r="G39" s="275">
        <v>1032</v>
      </c>
      <c r="I39" s="275">
        <v>1032</v>
      </c>
      <c r="J39" s="275">
        <v>1032</v>
      </c>
      <c r="K39" s="275">
        <v>0</v>
      </c>
      <c r="L39"/>
      <c r="M39"/>
      <c r="N39"/>
      <c r="O39"/>
      <c r="P39" s="433"/>
      <c r="Q39"/>
      <c r="R39" s="43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326" customFormat="1" ht="18" customHeight="1">
      <c r="A40" s="272"/>
      <c r="B40" s="318" t="s">
        <v>203</v>
      </c>
      <c r="C40" s="273" t="s">
        <v>142</v>
      </c>
      <c r="D40" s="273" t="s">
        <v>186</v>
      </c>
      <c r="E40" s="274">
        <v>5500</v>
      </c>
      <c r="F40" s="275">
        <v>1000</v>
      </c>
      <c r="G40" s="275">
        <v>1000</v>
      </c>
      <c r="H40" s="322"/>
      <c r="I40" s="275">
        <v>1000</v>
      </c>
      <c r="J40" s="275">
        <v>1000</v>
      </c>
      <c r="K40" s="275">
        <v>50</v>
      </c>
      <c r="L40"/>
      <c r="M40"/>
      <c r="N40"/>
      <c r="O40"/>
      <c r="P40" s="433"/>
      <c r="Q40"/>
      <c r="R40" s="433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319" customFormat="1" ht="18" customHeight="1">
      <c r="A41" s="247" t="s">
        <v>204</v>
      </c>
      <c r="B41" s="248"/>
      <c r="C41" s="249"/>
      <c r="D41" s="249"/>
      <c r="E41" s="250"/>
      <c r="F41" s="251"/>
      <c r="G41" s="251"/>
      <c r="I41" s="313"/>
      <c r="J41" s="313"/>
      <c r="K41" s="313" t="s">
        <v>937</v>
      </c>
      <c r="L41" s="59"/>
      <c r="M41" s="59"/>
      <c r="N41" s="59"/>
      <c r="O41" s="59"/>
      <c r="P41" s="724"/>
      <c r="Q41" s="59"/>
      <c r="R41" s="724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1:49" s="319" customFormat="1" ht="18" customHeight="1" thickBot="1">
      <c r="A42" s="249"/>
      <c r="B42" s="248"/>
      <c r="C42" s="249"/>
      <c r="D42" s="249"/>
      <c r="E42" s="250"/>
      <c r="F42" s="251"/>
      <c r="G42" s="251"/>
      <c r="I42" s="251"/>
      <c r="J42" s="251"/>
      <c r="K42" s="251" t="s">
        <v>128</v>
      </c>
      <c r="L42" s="59"/>
      <c r="M42" s="59"/>
      <c r="N42" s="59"/>
      <c r="O42" s="59"/>
      <c r="P42" s="724"/>
      <c r="Q42" s="59"/>
      <c r="R42" s="724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</row>
    <row r="43" spans="1:49" s="358" customFormat="1" ht="18" customHeight="1">
      <c r="A43" s="359"/>
      <c r="B43" s="362"/>
      <c r="C43" s="363" t="s">
        <v>129</v>
      </c>
      <c r="D43" s="363" t="s">
        <v>130</v>
      </c>
      <c r="E43" s="364" t="s">
        <v>131</v>
      </c>
      <c r="F43" s="365" t="s">
        <v>2</v>
      </c>
      <c r="G43" s="365" t="s">
        <v>29</v>
      </c>
      <c r="H43" s="366"/>
      <c r="I43" s="365" t="s">
        <v>443</v>
      </c>
      <c r="J43" s="365" t="s">
        <v>2</v>
      </c>
      <c r="K43" s="367" t="s">
        <v>503</v>
      </c>
      <c r="L43"/>
      <c r="M43"/>
      <c r="N43"/>
      <c r="O43"/>
      <c r="P43" s="433"/>
      <c r="Q43"/>
      <c r="R43" s="4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322" customFormat="1" ht="18" customHeight="1">
      <c r="A44" s="360"/>
      <c r="B44" s="368" t="s">
        <v>132</v>
      </c>
      <c r="C44" s="353" t="s">
        <v>133</v>
      </c>
      <c r="D44" s="353" t="s">
        <v>134</v>
      </c>
      <c r="E44" s="354" t="s">
        <v>135</v>
      </c>
      <c r="F44" s="355" t="s">
        <v>80</v>
      </c>
      <c r="G44" s="355" t="s">
        <v>81</v>
      </c>
      <c r="I44" s="355" t="s">
        <v>81</v>
      </c>
      <c r="J44" s="355" t="s">
        <v>80</v>
      </c>
      <c r="K44" s="369" t="s">
        <v>81</v>
      </c>
      <c r="L44"/>
      <c r="M44"/>
      <c r="N44"/>
      <c r="O44"/>
      <c r="P44" s="433"/>
      <c r="Q44"/>
      <c r="R44" s="43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322" customFormat="1" ht="18" customHeight="1" thickBot="1">
      <c r="A45" s="360"/>
      <c r="B45" s="370"/>
      <c r="C45" s="371"/>
      <c r="D45" s="371"/>
      <c r="E45" s="372" t="s">
        <v>136</v>
      </c>
      <c r="F45" s="373">
        <v>2006</v>
      </c>
      <c r="G45" s="373" t="s">
        <v>5</v>
      </c>
      <c r="H45" s="374"/>
      <c r="I45" s="373" t="s">
        <v>5</v>
      </c>
      <c r="J45" s="373">
        <v>2006</v>
      </c>
      <c r="K45" s="375" t="s">
        <v>504</v>
      </c>
      <c r="L45"/>
      <c r="M45"/>
      <c r="N45"/>
      <c r="O45"/>
      <c r="P45" s="433"/>
      <c r="Q45"/>
      <c r="R45" s="433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322" customFormat="1" ht="18" customHeight="1">
      <c r="A46" s="273"/>
      <c r="B46" s="361" t="s">
        <v>205</v>
      </c>
      <c r="C46" s="269" t="s">
        <v>142</v>
      </c>
      <c r="D46" s="269" t="s">
        <v>186</v>
      </c>
      <c r="E46" s="276">
        <v>4700</v>
      </c>
      <c r="F46" s="270">
        <v>1000</v>
      </c>
      <c r="G46" s="270">
        <v>1000</v>
      </c>
      <c r="H46" s="358"/>
      <c r="I46" s="270">
        <v>1000</v>
      </c>
      <c r="J46" s="270">
        <v>1000</v>
      </c>
      <c r="K46" s="270">
        <v>17</v>
      </c>
      <c r="L46"/>
      <c r="M46"/>
      <c r="N46"/>
      <c r="O46"/>
      <c r="P46" s="433"/>
      <c r="Q46"/>
      <c r="R46" s="433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322" customFormat="1" ht="18" customHeight="1">
      <c r="A47" s="273"/>
      <c r="B47" s="318" t="s">
        <v>206</v>
      </c>
      <c r="C47" s="273" t="s">
        <v>142</v>
      </c>
      <c r="D47" s="273" t="s">
        <v>186</v>
      </c>
      <c r="E47" s="274">
        <v>3500</v>
      </c>
      <c r="F47" s="275">
        <v>1000</v>
      </c>
      <c r="G47" s="275">
        <v>1000</v>
      </c>
      <c r="I47" s="275">
        <v>1000</v>
      </c>
      <c r="J47" s="275">
        <v>1000</v>
      </c>
      <c r="K47" s="275">
        <v>0</v>
      </c>
      <c r="L47"/>
      <c r="M47"/>
      <c r="N47"/>
      <c r="O47"/>
      <c r="P47" s="433"/>
      <c r="Q47"/>
      <c r="R47" s="433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322" customFormat="1" ht="18" customHeight="1">
      <c r="A48" s="273"/>
      <c r="B48" s="316" t="s">
        <v>207</v>
      </c>
      <c r="C48" s="273" t="s">
        <v>142</v>
      </c>
      <c r="D48" s="273" t="s">
        <v>186</v>
      </c>
      <c r="E48" s="275">
        <v>5500</v>
      </c>
      <c r="F48" s="277">
        <v>1000</v>
      </c>
      <c r="G48" s="277">
        <v>1000</v>
      </c>
      <c r="I48" s="277">
        <v>1000</v>
      </c>
      <c r="J48" s="277">
        <v>1000</v>
      </c>
      <c r="K48" s="277">
        <v>651</v>
      </c>
      <c r="L48"/>
      <c r="M48"/>
      <c r="N48"/>
      <c r="O48"/>
      <c r="P48" s="433"/>
      <c r="Q48"/>
      <c r="R48" s="43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322" customFormat="1" ht="18" customHeight="1">
      <c r="A49" s="273"/>
      <c r="B49" s="316" t="s">
        <v>208</v>
      </c>
      <c r="C49" s="273" t="s">
        <v>183</v>
      </c>
      <c r="D49" s="273" t="s">
        <v>209</v>
      </c>
      <c r="E49" s="275">
        <v>910</v>
      </c>
      <c r="F49" s="277">
        <v>30</v>
      </c>
      <c r="G49" s="277">
        <v>30</v>
      </c>
      <c r="I49" s="277">
        <v>30</v>
      </c>
      <c r="J49" s="277">
        <v>30</v>
      </c>
      <c r="K49" s="277">
        <v>0</v>
      </c>
      <c r="L49"/>
      <c r="M49"/>
      <c r="N49"/>
      <c r="O49"/>
      <c r="P49" s="433"/>
      <c r="Q49"/>
      <c r="R49" s="4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322" customFormat="1" ht="18" customHeight="1">
      <c r="A50" s="273"/>
      <c r="B50" s="316" t="s">
        <v>210</v>
      </c>
      <c r="C50" s="273" t="s">
        <v>211</v>
      </c>
      <c r="D50" s="273" t="s">
        <v>140</v>
      </c>
      <c r="E50" s="275">
        <v>898</v>
      </c>
      <c r="F50" s="277">
        <v>70</v>
      </c>
      <c r="G50" s="277">
        <v>70</v>
      </c>
      <c r="I50" s="277">
        <v>70</v>
      </c>
      <c r="J50" s="277">
        <v>70</v>
      </c>
      <c r="K50" s="277">
        <v>0</v>
      </c>
      <c r="L50"/>
      <c r="M50"/>
      <c r="N50"/>
      <c r="O50"/>
      <c r="P50" s="433"/>
      <c r="Q50"/>
      <c r="R50" s="43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322" customFormat="1" ht="18" customHeight="1">
      <c r="A51" s="273"/>
      <c r="B51" s="316" t="s">
        <v>212</v>
      </c>
      <c r="C51" s="273" t="s">
        <v>156</v>
      </c>
      <c r="D51" s="273" t="s">
        <v>209</v>
      </c>
      <c r="E51" s="275">
        <v>2392</v>
      </c>
      <c r="F51" s="277">
        <v>160</v>
      </c>
      <c r="G51" s="277">
        <v>160</v>
      </c>
      <c r="I51" s="277">
        <v>160</v>
      </c>
      <c r="J51" s="277">
        <v>160</v>
      </c>
      <c r="K51" s="277">
        <v>0</v>
      </c>
      <c r="L51"/>
      <c r="M51"/>
      <c r="N51"/>
      <c r="O51"/>
      <c r="P51" s="433"/>
      <c r="Q51"/>
      <c r="R51" s="43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322" customFormat="1" ht="18" customHeight="1">
      <c r="A52" s="273"/>
      <c r="B52" s="318" t="s">
        <v>440</v>
      </c>
      <c r="C52" s="273" t="s">
        <v>164</v>
      </c>
      <c r="D52" s="273" t="s">
        <v>209</v>
      </c>
      <c r="E52" s="274">
        <v>267</v>
      </c>
      <c r="F52" s="275">
        <v>23</v>
      </c>
      <c r="G52" s="275">
        <v>267</v>
      </c>
      <c r="I52" s="275">
        <v>267</v>
      </c>
      <c r="J52" s="275">
        <v>267</v>
      </c>
      <c r="K52" s="275">
        <v>0</v>
      </c>
      <c r="L52"/>
      <c r="M52"/>
      <c r="N52"/>
      <c r="O52"/>
      <c r="P52" s="433"/>
      <c r="Q52"/>
      <c r="R52" s="433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322" customFormat="1" ht="18" customHeight="1">
      <c r="A53" s="273"/>
      <c r="B53" s="318" t="s">
        <v>213</v>
      </c>
      <c r="C53" s="273" t="s">
        <v>189</v>
      </c>
      <c r="D53" s="273" t="s">
        <v>154</v>
      </c>
      <c r="E53" s="274">
        <v>1300</v>
      </c>
      <c r="F53" s="275">
        <v>650</v>
      </c>
      <c r="G53" s="275">
        <v>650</v>
      </c>
      <c r="I53" s="275">
        <v>650</v>
      </c>
      <c r="J53" s="275">
        <f>650+250</f>
        <v>900</v>
      </c>
      <c r="K53" s="275">
        <v>783</v>
      </c>
      <c r="L53"/>
      <c r="M53"/>
      <c r="N53"/>
      <c r="O53"/>
      <c r="P53" s="433"/>
      <c r="Q53"/>
      <c r="R53" s="43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322" customFormat="1" ht="18" customHeight="1">
      <c r="A54" s="273"/>
      <c r="B54" s="318" t="s">
        <v>214</v>
      </c>
      <c r="C54" s="273" t="s">
        <v>142</v>
      </c>
      <c r="D54" s="273" t="s">
        <v>186</v>
      </c>
      <c r="E54" s="274">
        <v>6500</v>
      </c>
      <c r="F54" s="275">
        <v>3000</v>
      </c>
      <c r="G54" s="275">
        <v>3000</v>
      </c>
      <c r="I54" s="275">
        <v>3000</v>
      </c>
      <c r="J54" s="275">
        <v>3000</v>
      </c>
      <c r="K54" s="275">
        <v>894</v>
      </c>
      <c r="L54"/>
      <c r="M54"/>
      <c r="N54"/>
      <c r="O54"/>
      <c r="P54" s="433"/>
      <c r="Q54"/>
      <c r="R54" s="43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322" customFormat="1" ht="18" customHeight="1">
      <c r="A55" s="273"/>
      <c r="B55" s="318" t="s">
        <v>215</v>
      </c>
      <c r="C55" s="273" t="s">
        <v>142</v>
      </c>
      <c r="D55" s="273" t="s">
        <v>209</v>
      </c>
      <c r="E55" s="274">
        <v>835</v>
      </c>
      <c r="F55" s="275">
        <v>0</v>
      </c>
      <c r="G55" s="275">
        <v>0</v>
      </c>
      <c r="I55" s="275">
        <v>0</v>
      </c>
      <c r="J55" s="275">
        <v>0</v>
      </c>
      <c r="K55" s="275">
        <v>937</v>
      </c>
      <c r="L55"/>
      <c r="M55"/>
      <c r="N55"/>
      <c r="O55"/>
      <c r="P55" s="433"/>
      <c r="Q55"/>
      <c r="R55" s="43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322" customFormat="1" ht="18" customHeight="1">
      <c r="A56" s="273"/>
      <c r="B56" s="318" t="s">
        <v>216</v>
      </c>
      <c r="C56" s="273" t="s">
        <v>217</v>
      </c>
      <c r="D56" s="273" t="s">
        <v>143</v>
      </c>
      <c r="E56" s="274">
        <v>4525</v>
      </c>
      <c r="F56" s="275">
        <v>0</v>
      </c>
      <c r="G56" s="275">
        <v>0</v>
      </c>
      <c r="I56" s="275">
        <v>0</v>
      </c>
      <c r="J56" s="275">
        <v>0</v>
      </c>
      <c r="K56" s="275">
        <v>0</v>
      </c>
      <c r="L56"/>
      <c r="M56"/>
      <c r="N56"/>
      <c r="O56"/>
      <c r="P56" s="433"/>
      <c r="Q56"/>
      <c r="R56" s="43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322" customFormat="1" ht="18" customHeight="1">
      <c r="A57" s="273"/>
      <c r="B57" s="318" t="s">
        <v>218</v>
      </c>
      <c r="C57" s="273" t="s">
        <v>189</v>
      </c>
      <c r="D57" s="273" t="s">
        <v>156</v>
      </c>
      <c r="E57" s="274">
        <v>1400</v>
      </c>
      <c r="F57" s="275">
        <v>0</v>
      </c>
      <c r="G57" s="275">
        <v>0</v>
      </c>
      <c r="I57" s="275">
        <v>0</v>
      </c>
      <c r="J57" s="275">
        <v>0</v>
      </c>
      <c r="K57" s="275">
        <v>0</v>
      </c>
      <c r="L57"/>
      <c r="M57"/>
      <c r="N57"/>
      <c r="O57"/>
      <c r="P57" s="433"/>
      <c r="Q57"/>
      <c r="R57" s="43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322" customFormat="1" ht="18" customHeight="1">
      <c r="A58" s="273"/>
      <c r="B58" s="318" t="s">
        <v>219</v>
      </c>
      <c r="C58" s="273" t="s">
        <v>156</v>
      </c>
      <c r="D58" s="273" t="s">
        <v>211</v>
      </c>
      <c r="E58" s="274">
        <v>112</v>
      </c>
      <c r="F58" s="275">
        <v>0</v>
      </c>
      <c r="G58" s="275">
        <v>0</v>
      </c>
      <c r="I58" s="275">
        <v>0</v>
      </c>
      <c r="J58" s="275">
        <v>0</v>
      </c>
      <c r="K58" s="275">
        <v>0</v>
      </c>
      <c r="L58"/>
      <c r="M58"/>
      <c r="N58"/>
      <c r="O58"/>
      <c r="P58" s="433"/>
      <c r="Q58"/>
      <c r="R58" s="43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322" customFormat="1" ht="18" customHeight="1">
      <c r="A59" s="273"/>
      <c r="B59" s="318" t="s">
        <v>220</v>
      </c>
      <c r="C59" s="273" t="s">
        <v>156</v>
      </c>
      <c r="D59" s="273" t="s">
        <v>211</v>
      </c>
      <c r="E59" s="274">
        <v>192</v>
      </c>
      <c r="F59" s="275">
        <v>0</v>
      </c>
      <c r="G59" s="275">
        <v>0</v>
      </c>
      <c r="I59" s="275">
        <v>0</v>
      </c>
      <c r="J59" s="275">
        <v>0</v>
      </c>
      <c r="K59" s="275">
        <v>0</v>
      </c>
      <c r="L59"/>
      <c r="M59"/>
      <c r="N59"/>
      <c r="O59"/>
      <c r="P59" s="433"/>
      <c r="Q59"/>
      <c r="R59" s="43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322" customFormat="1" ht="18" customHeight="1">
      <c r="A60" s="273"/>
      <c r="B60" s="318" t="s">
        <v>492</v>
      </c>
      <c r="C60" s="273" t="s">
        <v>209</v>
      </c>
      <c r="D60" s="273" t="s">
        <v>150</v>
      </c>
      <c r="E60" s="274">
        <v>4000</v>
      </c>
      <c r="F60" s="275">
        <v>0</v>
      </c>
      <c r="G60" s="275">
        <v>0</v>
      </c>
      <c r="I60" s="275">
        <v>3000</v>
      </c>
      <c r="J60" s="275">
        <v>3000</v>
      </c>
      <c r="K60" s="275">
        <v>742</v>
      </c>
      <c r="L60"/>
      <c r="M60"/>
      <c r="N60"/>
      <c r="O60"/>
      <c r="P60" s="433"/>
      <c r="Q60"/>
      <c r="R60" s="43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71" s="278" customFormat="1" ht="18" customHeight="1">
      <c r="A61" s="273"/>
      <c r="B61" s="318" t="s">
        <v>458</v>
      </c>
      <c r="C61" s="273" t="s">
        <v>459</v>
      </c>
      <c r="D61" s="273" t="s">
        <v>457</v>
      </c>
      <c r="E61" s="274">
        <v>47254</v>
      </c>
      <c r="F61" s="275">
        <v>0</v>
      </c>
      <c r="G61" s="275">
        <v>0</v>
      </c>
      <c r="H61" s="322"/>
      <c r="I61" s="275">
        <v>36</v>
      </c>
      <c r="J61" s="275">
        <v>36</v>
      </c>
      <c r="K61" s="275">
        <v>36</v>
      </c>
      <c r="L61"/>
      <c r="M61"/>
      <c r="N61"/>
      <c r="O61"/>
      <c r="P61" s="433"/>
      <c r="Q61"/>
      <c r="R61" s="43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</row>
    <row r="62" spans="1:71" s="278" customFormat="1" ht="18" customHeight="1">
      <c r="A62" s="273"/>
      <c r="B62" s="318" t="s">
        <v>222</v>
      </c>
      <c r="C62" s="273" t="s">
        <v>183</v>
      </c>
      <c r="D62" s="273" t="s">
        <v>143</v>
      </c>
      <c r="E62" s="274">
        <v>1827</v>
      </c>
      <c r="F62" s="275">
        <v>0</v>
      </c>
      <c r="G62" s="275">
        <v>0</v>
      </c>
      <c r="H62" s="322"/>
      <c r="I62" s="275">
        <v>0</v>
      </c>
      <c r="J62" s="275">
        <v>70</v>
      </c>
      <c r="K62" s="275">
        <v>68</v>
      </c>
      <c r="L62"/>
      <c r="M62"/>
      <c r="N62"/>
      <c r="O62"/>
      <c r="P62" s="433"/>
      <c r="Q62"/>
      <c r="R62" s="43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</row>
    <row r="63" spans="1:49" s="323" customFormat="1" ht="18" customHeight="1">
      <c r="A63" s="281" t="s">
        <v>223</v>
      </c>
      <c r="B63" s="317" t="s">
        <v>224</v>
      </c>
      <c r="C63" s="281" t="s">
        <v>189</v>
      </c>
      <c r="D63" s="281" t="s">
        <v>146</v>
      </c>
      <c r="E63" s="282">
        <v>309328</v>
      </c>
      <c r="F63" s="283">
        <v>6000</v>
      </c>
      <c r="G63" s="283">
        <v>6000</v>
      </c>
      <c r="I63" s="283">
        <v>0</v>
      </c>
      <c r="J63" s="283">
        <v>350</v>
      </c>
      <c r="K63" s="283">
        <v>293</v>
      </c>
      <c r="L63"/>
      <c r="M63"/>
      <c r="N63"/>
      <c r="O63"/>
      <c r="P63" s="433"/>
      <c r="Q63"/>
      <c r="R63" s="43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322" customFormat="1" ht="18" customHeight="1">
      <c r="A64" s="273" t="s">
        <v>226</v>
      </c>
      <c r="B64" s="316" t="s">
        <v>227</v>
      </c>
      <c r="C64" s="273"/>
      <c r="D64" s="273"/>
      <c r="E64" s="356"/>
      <c r="F64" s="277">
        <v>0</v>
      </c>
      <c r="G64" s="277">
        <v>0</v>
      </c>
      <c r="I64" s="277">
        <v>0</v>
      </c>
      <c r="J64" s="277">
        <v>0</v>
      </c>
      <c r="K64" s="277">
        <v>0</v>
      </c>
      <c r="L64"/>
      <c r="M64"/>
      <c r="N64"/>
      <c r="O64"/>
      <c r="P64" s="433"/>
      <c r="Q64"/>
      <c r="R64" s="43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322" customFormat="1" ht="18" customHeight="1">
      <c r="A65" s="273" t="s">
        <v>228</v>
      </c>
      <c r="B65" s="318" t="s">
        <v>229</v>
      </c>
      <c r="C65" s="273" t="s">
        <v>230</v>
      </c>
      <c r="D65" s="273" t="s">
        <v>150</v>
      </c>
      <c r="E65" s="274">
        <v>267025</v>
      </c>
      <c r="F65" s="275">
        <v>0</v>
      </c>
      <c r="G65" s="275">
        <v>0</v>
      </c>
      <c r="I65" s="275">
        <v>0</v>
      </c>
      <c r="J65" s="275">
        <v>0</v>
      </c>
      <c r="K65" s="275">
        <v>0</v>
      </c>
      <c r="L65"/>
      <c r="M65"/>
      <c r="N65"/>
      <c r="O65"/>
      <c r="P65" s="433"/>
      <c r="Q65"/>
      <c r="R65" s="43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322" customFormat="1" ht="18" customHeight="1">
      <c r="A66" s="273" t="s">
        <v>231</v>
      </c>
      <c r="B66" s="318" t="s">
        <v>232</v>
      </c>
      <c r="C66" s="273" t="s">
        <v>139</v>
      </c>
      <c r="D66" s="273" t="s">
        <v>150</v>
      </c>
      <c r="E66" s="274">
        <v>4081</v>
      </c>
      <c r="F66" s="275">
        <v>2041</v>
      </c>
      <c r="G66" s="275">
        <v>2041</v>
      </c>
      <c r="I66" s="275">
        <v>2041</v>
      </c>
      <c r="J66" s="275">
        <v>2041</v>
      </c>
      <c r="K66" s="275">
        <v>1769</v>
      </c>
      <c r="L66"/>
      <c r="M66"/>
      <c r="N66"/>
      <c r="O66"/>
      <c r="P66" s="433"/>
      <c r="Q66"/>
      <c r="R66" s="433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322" customFormat="1" ht="18" customHeight="1">
      <c r="A67" s="273" t="s">
        <v>233</v>
      </c>
      <c r="B67" s="318" t="s">
        <v>234</v>
      </c>
      <c r="C67" s="273" t="s">
        <v>139</v>
      </c>
      <c r="D67" s="273" t="s">
        <v>150</v>
      </c>
      <c r="E67" s="274">
        <v>4081</v>
      </c>
      <c r="F67" s="275">
        <v>2041</v>
      </c>
      <c r="G67" s="275">
        <v>2041</v>
      </c>
      <c r="I67" s="275">
        <v>2041</v>
      </c>
      <c r="J67" s="275">
        <v>2041</v>
      </c>
      <c r="K67" s="275">
        <v>1870</v>
      </c>
      <c r="L67"/>
      <c r="M67"/>
      <c r="N67"/>
      <c r="O67"/>
      <c r="P67" s="433"/>
      <c r="Q67"/>
      <c r="R67" s="43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322" customFormat="1" ht="18" customHeight="1">
      <c r="A68" s="273" t="s">
        <v>235</v>
      </c>
      <c r="B68" s="318" t="s">
        <v>236</v>
      </c>
      <c r="C68" s="273" t="s">
        <v>237</v>
      </c>
      <c r="D68" s="273" t="s">
        <v>143</v>
      </c>
      <c r="E68" s="274">
        <v>4488</v>
      </c>
      <c r="F68" s="275">
        <v>2061</v>
      </c>
      <c r="G68" s="275">
        <v>2061</v>
      </c>
      <c r="I68" s="275">
        <v>2061</v>
      </c>
      <c r="J68" s="275">
        <v>2061</v>
      </c>
      <c r="K68" s="275">
        <v>1811</v>
      </c>
      <c r="L68"/>
      <c r="M68"/>
      <c r="N68"/>
      <c r="O68"/>
      <c r="P68" s="433"/>
      <c r="Q68"/>
      <c r="R68" s="433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322" customFormat="1" ht="18" customHeight="1">
      <c r="A69" s="273"/>
      <c r="B69" s="318" t="s">
        <v>238</v>
      </c>
      <c r="C69" s="273" t="s">
        <v>139</v>
      </c>
      <c r="D69" s="273" t="s">
        <v>143</v>
      </c>
      <c r="E69" s="274">
        <v>5824</v>
      </c>
      <c r="F69" s="275">
        <v>0</v>
      </c>
      <c r="G69" s="275">
        <v>52</v>
      </c>
      <c r="I69" s="275">
        <v>52</v>
      </c>
      <c r="J69" s="275">
        <v>52</v>
      </c>
      <c r="K69" s="275">
        <v>0</v>
      </c>
      <c r="L69"/>
      <c r="M69"/>
      <c r="N69"/>
      <c r="O69"/>
      <c r="P69" s="433"/>
      <c r="Q69"/>
      <c r="R69" s="43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322" customFormat="1" ht="18" customHeight="1">
      <c r="A70" s="273"/>
      <c r="B70" s="318" t="s">
        <v>239</v>
      </c>
      <c r="C70" s="273" t="s">
        <v>164</v>
      </c>
      <c r="D70" s="273" t="s">
        <v>140</v>
      </c>
      <c r="E70" s="274">
        <v>8200</v>
      </c>
      <c r="F70" s="275">
        <v>0</v>
      </c>
      <c r="G70" s="275">
        <v>550</v>
      </c>
      <c r="I70" s="275">
        <v>550</v>
      </c>
      <c r="J70" s="275">
        <v>550</v>
      </c>
      <c r="K70" s="275">
        <v>0</v>
      </c>
      <c r="L70"/>
      <c r="M70"/>
      <c r="N70"/>
      <c r="O70"/>
      <c r="P70" s="433"/>
      <c r="Q70"/>
      <c r="R70" s="43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322" customFormat="1" ht="18" customHeight="1">
      <c r="A71" s="273"/>
      <c r="B71" s="318" t="s">
        <v>240</v>
      </c>
      <c r="C71" s="273" t="s">
        <v>164</v>
      </c>
      <c r="D71" s="273" t="s">
        <v>157</v>
      </c>
      <c r="E71" s="274">
        <v>2400</v>
      </c>
      <c r="F71" s="275">
        <v>0</v>
      </c>
      <c r="G71" s="275">
        <v>220</v>
      </c>
      <c r="I71" s="275">
        <v>220</v>
      </c>
      <c r="J71" s="275">
        <v>220</v>
      </c>
      <c r="K71" s="275">
        <v>0</v>
      </c>
      <c r="L71"/>
      <c r="M71"/>
      <c r="N71"/>
      <c r="O71"/>
      <c r="P71" s="433"/>
      <c r="Q71"/>
      <c r="R71" s="43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322" customFormat="1" ht="18" customHeight="1">
      <c r="A72" s="273"/>
      <c r="B72" s="318" t="s">
        <v>241</v>
      </c>
      <c r="C72" s="273" t="s">
        <v>164</v>
      </c>
      <c r="D72" s="273" t="s">
        <v>143</v>
      </c>
      <c r="E72" s="274">
        <v>19160</v>
      </c>
      <c r="F72" s="275">
        <v>5000</v>
      </c>
      <c r="G72" s="275">
        <v>19160</v>
      </c>
      <c r="I72" s="275">
        <v>19160</v>
      </c>
      <c r="J72" s="275">
        <f>19160+3000+645</f>
        <v>22805</v>
      </c>
      <c r="K72" s="275">
        <v>12378</v>
      </c>
      <c r="L72"/>
      <c r="M72"/>
      <c r="N72"/>
      <c r="O72"/>
      <c r="P72" s="433"/>
      <c r="Q72"/>
      <c r="R72" s="433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322" customFormat="1" ht="18" customHeight="1">
      <c r="A73" s="273"/>
      <c r="B73" s="318" t="s">
        <v>242</v>
      </c>
      <c r="C73" s="273" t="s">
        <v>139</v>
      </c>
      <c r="D73" s="273" t="s">
        <v>157</v>
      </c>
      <c r="E73" s="274">
        <v>7384</v>
      </c>
      <c r="F73" s="275">
        <v>0</v>
      </c>
      <c r="G73" s="275">
        <v>0</v>
      </c>
      <c r="I73" s="275">
        <v>0</v>
      </c>
      <c r="J73" s="275">
        <v>0</v>
      </c>
      <c r="K73" s="275">
        <v>0</v>
      </c>
      <c r="L73"/>
      <c r="M73"/>
      <c r="N73"/>
      <c r="O73"/>
      <c r="P73" s="433"/>
      <c r="Q73"/>
      <c r="R73" s="43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s="322" customFormat="1" ht="18" customHeight="1">
      <c r="A74" s="273" t="s">
        <v>243</v>
      </c>
      <c r="B74" s="318" t="s">
        <v>244</v>
      </c>
      <c r="C74" s="273" t="s">
        <v>139</v>
      </c>
      <c r="D74" s="273" t="s">
        <v>157</v>
      </c>
      <c r="E74" s="274">
        <v>12604</v>
      </c>
      <c r="F74" s="275">
        <v>0</v>
      </c>
      <c r="G74" s="275">
        <v>0</v>
      </c>
      <c r="I74" s="275">
        <v>8930</v>
      </c>
      <c r="J74" s="275">
        <f>8930+5032</f>
        <v>13962</v>
      </c>
      <c r="K74" s="275">
        <f>198+12838</f>
        <v>13036</v>
      </c>
      <c r="L74"/>
      <c r="M74"/>
      <c r="N74"/>
      <c r="O74"/>
      <c r="P74" s="433"/>
      <c r="Q74"/>
      <c r="R74" s="433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322" customFormat="1" ht="18" customHeight="1">
      <c r="A75" s="273" t="s">
        <v>245</v>
      </c>
      <c r="B75" s="318" t="s">
        <v>246</v>
      </c>
      <c r="C75" s="273" t="s">
        <v>247</v>
      </c>
      <c r="D75" s="273" t="s">
        <v>150</v>
      </c>
      <c r="E75" s="274">
        <v>2274</v>
      </c>
      <c r="F75" s="275">
        <v>0</v>
      </c>
      <c r="G75" s="275">
        <v>0</v>
      </c>
      <c r="I75" s="275">
        <v>0</v>
      </c>
      <c r="J75" s="275">
        <v>0</v>
      </c>
      <c r="K75" s="275">
        <v>0</v>
      </c>
      <c r="L75"/>
      <c r="M75"/>
      <c r="N75"/>
      <c r="O75"/>
      <c r="P75" s="433"/>
      <c r="Q75"/>
      <c r="R75" s="433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322" customFormat="1" ht="18" customHeight="1">
      <c r="A76" s="273" t="s">
        <v>248</v>
      </c>
      <c r="B76" s="316" t="s">
        <v>249</v>
      </c>
      <c r="C76" s="273" t="s">
        <v>211</v>
      </c>
      <c r="D76" s="273" t="s">
        <v>150</v>
      </c>
      <c r="E76" s="275">
        <v>8990</v>
      </c>
      <c r="F76" s="277">
        <v>0</v>
      </c>
      <c r="G76" s="277">
        <v>0</v>
      </c>
      <c r="I76" s="277">
        <v>0</v>
      </c>
      <c r="J76" s="277">
        <v>0</v>
      </c>
      <c r="K76" s="277">
        <v>0</v>
      </c>
      <c r="L76"/>
      <c r="M76"/>
      <c r="N76"/>
      <c r="O76"/>
      <c r="P76" s="433"/>
      <c r="Q76"/>
      <c r="R76" s="433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322" customFormat="1" ht="18" customHeight="1">
      <c r="A77" s="273"/>
      <c r="B77" s="318" t="s">
        <v>250</v>
      </c>
      <c r="C77" s="273" t="s">
        <v>251</v>
      </c>
      <c r="D77" s="273" t="s">
        <v>143</v>
      </c>
      <c r="E77" s="274">
        <v>8866</v>
      </c>
      <c r="F77" s="275">
        <v>0</v>
      </c>
      <c r="G77" s="275">
        <v>0</v>
      </c>
      <c r="I77" s="275">
        <v>0</v>
      </c>
      <c r="J77" s="275">
        <v>0</v>
      </c>
      <c r="K77" s="275">
        <v>0</v>
      </c>
      <c r="L77"/>
      <c r="M77"/>
      <c r="N77"/>
      <c r="O77"/>
      <c r="P77" s="433"/>
      <c r="Q77"/>
      <c r="R77" s="433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322" customFormat="1" ht="18" customHeight="1">
      <c r="A78" s="273"/>
      <c r="B78" s="318" t="s">
        <v>252</v>
      </c>
      <c r="C78" s="273" t="s">
        <v>300</v>
      </c>
      <c r="D78" s="273" t="s">
        <v>150</v>
      </c>
      <c r="E78" s="274">
        <v>480</v>
      </c>
      <c r="F78" s="275">
        <v>480</v>
      </c>
      <c r="G78" s="275">
        <v>480</v>
      </c>
      <c r="I78" s="275">
        <v>480</v>
      </c>
      <c r="J78" s="275">
        <f>480+700</f>
        <v>1180</v>
      </c>
      <c r="K78" s="275">
        <v>1150</v>
      </c>
      <c r="L78"/>
      <c r="M78"/>
      <c r="N78"/>
      <c r="O78"/>
      <c r="P78" s="433"/>
      <c r="Q78"/>
      <c r="R78" s="433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322" customFormat="1" ht="18" customHeight="1">
      <c r="A79" s="273"/>
      <c r="B79" s="318" t="s">
        <v>460</v>
      </c>
      <c r="C79" s="273" t="s">
        <v>461</v>
      </c>
      <c r="D79" s="273" t="s">
        <v>150</v>
      </c>
      <c r="E79" s="274">
        <v>2120</v>
      </c>
      <c r="F79" s="275">
        <v>0</v>
      </c>
      <c r="G79" s="275">
        <v>0</v>
      </c>
      <c r="I79" s="275">
        <v>153</v>
      </c>
      <c r="J79" s="275">
        <f>153+2200</f>
        <v>2353</v>
      </c>
      <c r="K79" s="275">
        <v>159</v>
      </c>
      <c r="L79"/>
      <c r="M79"/>
      <c r="N79"/>
      <c r="O79"/>
      <c r="P79" s="433"/>
      <c r="Q79"/>
      <c r="R79" s="433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322" customFormat="1" ht="18" customHeight="1">
      <c r="A80" s="273"/>
      <c r="B80" s="318" t="s">
        <v>253</v>
      </c>
      <c r="C80" s="273" t="s">
        <v>156</v>
      </c>
      <c r="D80" s="273" t="s">
        <v>254</v>
      </c>
      <c r="E80" s="274">
        <v>2420</v>
      </c>
      <c r="F80" s="275">
        <v>1040</v>
      </c>
      <c r="G80" s="275">
        <v>1040</v>
      </c>
      <c r="I80" s="275">
        <v>1040</v>
      </c>
      <c r="J80" s="275">
        <f>1040+400</f>
        <v>1440</v>
      </c>
      <c r="K80" s="275">
        <v>1413</v>
      </c>
      <c r="L80"/>
      <c r="M80"/>
      <c r="N80"/>
      <c r="O80"/>
      <c r="P80" s="433"/>
      <c r="Q80"/>
      <c r="R80" s="433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326" customFormat="1" ht="18" customHeight="1">
      <c r="A81" s="272" t="s">
        <v>255</v>
      </c>
      <c r="B81" s="318" t="s">
        <v>256</v>
      </c>
      <c r="C81" s="273"/>
      <c r="D81" s="273"/>
      <c r="E81" s="274"/>
      <c r="F81" s="275">
        <v>0</v>
      </c>
      <c r="G81" s="275">
        <v>0</v>
      </c>
      <c r="H81" s="322"/>
      <c r="I81" s="275">
        <v>0</v>
      </c>
      <c r="J81" s="275">
        <v>0</v>
      </c>
      <c r="K81" s="275">
        <v>0</v>
      </c>
      <c r="L81"/>
      <c r="M81"/>
      <c r="N81"/>
      <c r="O81"/>
      <c r="P81" s="433"/>
      <c r="Q81"/>
      <c r="R81" s="433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319" customFormat="1" ht="18" customHeight="1">
      <c r="A82" s="247" t="s">
        <v>204</v>
      </c>
      <c r="B82" s="248"/>
      <c r="C82" s="249"/>
      <c r="D82" s="249"/>
      <c r="E82" s="250"/>
      <c r="F82" s="251"/>
      <c r="G82" s="251"/>
      <c r="I82" s="313"/>
      <c r="J82" s="313"/>
      <c r="K82" s="313" t="s">
        <v>938</v>
      </c>
      <c r="L82" s="59"/>
      <c r="M82" s="59"/>
      <c r="N82" s="59"/>
      <c r="O82" s="59"/>
      <c r="P82" s="724"/>
      <c r="Q82" s="59"/>
      <c r="R82" s="724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</row>
    <row r="83" spans="1:49" s="319" customFormat="1" ht="18" customHeight="1" thickBot="1">
      <c r="A83" s="249"/>
      <c r="B83" s="248"/>
      <c r="C83" s="249"/>
      <c r="D83" s="249"/>
      <c r="E83" s="250"/>
      <c r="F83" s="251"/>
      <c r="G83" s="251"/>
      <c r="I83" s="251"/>
      <c r="J83" s="251"/>
      <c r="K83" s="251" t="s">
        <v>128</v>
      </c>
      <c r="L83" s="59"/>
      <c r="M83" s="59"/>
      <c r="N83" s="59"/>
      <c r="O83" s="59"/>
      <c r="P83" s="724"/>
      <c r="Q83" s="59"/>
      <c r="R83" s="724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</row>
    <row r="84" spans="1:49" s="358" customFormat="1" ht="18" customHeight="1">
      <c r="A84" s="359"/>
      <c r="B84" s="362"/>
      <c r="C84" s="363" t="s">
        <v>129</v>
      </c>
      <c r="D84" s="363" t="s">
        <v>130</v>
      </c>
      <c r="E84" s="364" t="s">
        <v>131</v>
      </c>
      <c r="F84" s="365" t="s">
        <v>2</v>
      </c>
      <c r="G84" s="365" t="s">
        <v>29</v>
      </c>
      <c r="H84" s="366"/>
      <c r="I84" s="365" t="s">
        <v>443</v>
      </c>
      <c r="J84" s="365" t="s">
        <v>2</v>
      </c>
      <c r="K84" s="367" t="s">
        <v>503</v>
      </c>
      <c r="L84"/>
      <c r="M84"/>
      <c r="N84"/>
      <c r="O84"/>
      <c r="P84" s="433"/>
      <c r="Q84"/>
      <c r="R84" s="433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322" customFormat="1" ht="18" customHeight="1">
      <c r="A85" s="360"/>
      <c r="B85" s="368" t="s">
        <v>132</v>
      </c>
      <c r="C85" s="353" t="s">
        <v>133</v>
      </c>
      <c r="D85" s="353" t="s">
        <v>134</v>
      </c>
      <c r="E85" s="354" t="s">
        <v>135</v>
      </c>
      <c r="F85" s="355" t="s">
        <v>80</v>
      </c>
      <c r="G85" s="355" t="s">
        <v>81</v>
      </c>
      <c r="I85" s="355" t="s">
        <v>81</v>
      </c>
      <c r="J85" s="355" t="s">
        <v>80</v>
      </c>
      <c r="K85" s="369" t="s">
        <v>81</v>
      </c>
      <c r="L85"/>
      <c r="M85"/>
      <c r="N85"/>
      <c r="O85"/>
      <c r="P85" s="433"/>
      <c r="Q85"/>
      <c r="R85" s="43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322" customFormat="1" ht="18" customHeight="1" thickBot="1">
      <c r="A86" s="360"/>
      <c r="B86" s="370"/>
      <c r="C86" s="371"/>
      <c r="D86" s="371"/>
      <c r="E86" s="372" t="s">
        <v>136</v>
      </c>
      <c r="F86" s="373">
        <v>2006</v>
      </c>
      <c r="G86" s="373" t="s">
        <v>5</v>
      </c>
      <c r="H86" s="374"/>
      <c r="I86" s="373" t="s">
        <v>5</v>
      </c>
      <c r="J86" s="373">
        <v>2006</v>
      </c>
      <c r="K86" s="375" t="s">
        <v>504</v>
      </c>
      <c r="L86"/>
      <c r="M86"/>
      <c r="N86"/>
      <c r="O86"/>
      <c r="P86" s="433"/>
      <c r="Q86"/>
      <c r="R86" s="43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322" customFormat="1" ht="18" customHeight="1">
      <c r="A87" s="273" t="s">
        <v>257</v>
      </c>
      <c r="B87" s="361" t="s">
        <v>258</v>
      </c>
      <c r="C87" s="269" t="s">
        <v>168</v>
      </c>
      <c r="D87" s="269" t="s">
        <v>209</v>
      </c>
      <c r="E87" s="276">
        <v>6656</v>
      </c>
      <c r="F87" s="270">
        <v>1000</v>
      </c>
      <c r="G87" s="270">
        <v>2648</v>
      </c>
      <c r="H87" s="358"/>
      <c r="I87" s="270">
        <v>2648</v>
      </c>
      <c r="J87" s="270">
        <v>2648</v>
      </c>
      <c r="K87" s="270">
        <v>790</v>
      </c>
      <c r="L87"/>
      <c r="M87"/>
      <c r="N87"/>
      <c r="O87"/>
      <c r="P87" s="433"/>
      <c r="Q87"/>
      <c r="R87" s="433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322" customFormat="1" ht="18" customHeight="1">
      <c r="A88" s="273" t="s">
        <v>259</v>
      </c>
      <c r="B88" s="318" t="s">
        <v>260</v>
      </c>
      <c r="C88" s="273" t="s">
        <v>261</v>
      </c>
      <c r="D88" s="273" t="s">
        <v>143</v>
      </c>
      <c r="E88" s="274">
        <v>27640</v>
      </c>
      <c r="F88" s="275">
        <v>5200</v>
      </c>
      <c r="G88" s="275">
        <v>9000</v>
      </c>
      <c r="I88" s="275">
        <v>9000</v>
      </c>
      <c r="J88" s="275">
        <v>9000</v>
      </c>
      <c r="K88" s="275">
        <v>5293</v>
      </c>
      <c r="L88"/>
      <c r="M88"/>
      <c r="N88"/>
      <c r="O88"/>
      <c r="P88" s="433"/>
      <c r="Q88"/>
      <c r="R88" s="433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323" customFormat="1" ht="18" customHeight="1">
      <c r="A89" s="281"/>
      <c r="B89" s="317" t="s">
        <v>463</v>
      </c>
      <c r="C89" s="281" t="s">
        <v>164</v>
      </c>
      <c r="D89" s="281" t="s">
        <v>211</v>
      </c>
      <c r="E89" s="282">
        <v>10591</v>
      </c>
      <c r="F89" s="283">
        <v>0</v>
      </c>
      <c r="G89" s="283">
        <v>0</v>
      </c>
      <c r="I89" s="283">
        <v>685</v>
      </c>
      <c r="J89" s="283">
        <f>685+1000</f>
        <v>1685</v>
      </c>
      <c r="K89" s="283">
        <v>1795</v>
      </c>
      <c r="L89"/>
      <c r="M89"/>
      <c r="N89"/>
      <c r="O89"/>
      <c r="P89" s="433"/>
      <c r="Q89"/>
      <c r="R89" s="433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322" customFormat="1" ht="18" customHeight="1">
      <c r="A90" s="273"/>
      <c r="B90" s="318" t="s">
        <v>262</v>
      </c>
      <c r="C90" s="273" t="s">
        <v>165</v>
      </c>
      <c r="D90" s="273" t="s">
        <v>143</v>
      </c>
      <c r="E90" s="274">
        <v>12939</v>
      </c>
      <c r="F90" s="275">
        <v>1000</v>
      </c>
      <c r="G90" s="275">
        <v>1000</v>
      </c>
      <c r="I90" s="275">
        <v>7080</v>
      </c>
      <c r="J90" s="275">
        <f>7080+2000</f>
        <v>9080</v>
      </c>
      <c r="K90" s="275">
        <v>7891</v>
      </c>
      <c r="L90"/>
      <c r="M90"/>
      <c r="N90"/>
      <c r="O90"/>
      <c r="P90" s="433"/>
      <c r="Q90"/>
      <c r="R90" s="43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322" customFormat="1" ht="18" customHeight="1">
      <c r="A91" s="273"/>
      <c r="B91" s="318" t="s">
        <v>462</v>
      </c>
      <c r="C91" s="273" t="s">
        <v>139</v>
      </c>
      <c r="D91" s="273" t="s">
        <v>164</v>
      </c>
      <c r="E91" s="274">
        <v>745</v>
      </c>
      <c r="F91" s="275">
        <v>0</v>
      </c>
      <c r="G91" s="275">
        <v>0</v>
      </c>
      <c r="I91" s="275">
        <v>111</v>
      </c>
      <c r="J91" s="275">
        <v>111</v>
      </c>
      <c r="K91" s="275">
        <v>111</v>
      </c>
      <c r="L91"/>
      <c r="M91"/>
      <c r="N91"/>
      <c r="O91"/>
      <c r="P91" s="433"/>
      <c r="Q91"/>
      <c r="R91" s="433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322" customFormat="1" ht="18" customHeight="1">
      <c r="A92" s="273"/>
      <c r="B92" s="318" t="s">
        <v>464</v>
      </c>
      <c r="C92" s="273" t="s">
        <v>251</v>
      </c>
      <c r="D92" s="273" t="s">
        <v>150</v>
      </c>
      <c r="E92" s="274">
        <v>5125</v>
      </c>
      <c r="F92" s="275">
        <v>2500</v>
      </c>
      <c r="G92" s="275">
        <v>2500</v>
      </c>
      <c r="I92" s="275">
        <v>2927</v>
      </c>
      <c r="J92" s="275">
        <v>5927</v>
      </c>
      <c r="K92" s="275">
        <v>5733</v>
      </c>
      <c r="L92"/>
      <c r="M92"/>
      <c r="N92"/>
      <c r="O92"/>
      <c r="P92" s="433"/>
      <c r="Q92"/>
      <c r="R92" s="433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322" customFormat="1" ht="18" customHeight="1">
      <c r="A93" s="273" t="s">
        <v>263</v>
      </c>
      <c r="B93" s="316" t="s">
        <v>264</v>
      </c>
      <c r="C93" s="273" t="s">
        <v>261</v>
      </c>
      <c r="D93" s="273" t="s">
        <v>150</v>
      </c>
      <c r="E93" s="275">
        <v>2131</v>
      </c>
      <c r="F93" s="277">
        <v>0</v>
      </c>
      <c r="G93" s="277">
        <v>0</v>
      </c>
      <c r="I93" s="277">
        <v>0</v>
      </c>
      <c r="J93" s="277">
        <v>0</v>
      </c>
      <c r="K93" s="277">
        <v>0</v>
      </c>
      <c r="L93"/>
      <c r="M93"/>
      <c r="N93"/>
      <c r="O93"/>
      <c r="P93" s="433"/>
      <c r="Q93"/>
      <c r="R93" s="43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322" customFormat="1" ht="18" customHeight="1" thickBot="1">
      <c r="A94" s="273"/>
      <c r="B94" s="316" t="s">
        <v>465</v>
      </c>
      <c r="C94" s="273" t="s">
        <v>153</v>
      </c>
      <c r="D94" s="273" t="s">
        <v>156</v>
      </c>
      <c r="E94" s="275">
        <v>5307</v>
      </c>
      <c r="F94" s="277">
        <v>0</v>
      </c>
      <c r="G94" s="277">
        <v>0</v>
      </c>
      <c r="I94" s="277">
        <v>1459</v>
      </c>
      <c r="J94" s="277">
        <f>1459+1000</f>
        <v>2459</v>
      </c>
      <c r="K94" s="277">
        <v>2321</v>
      </c>
      <c r="L94"/>
      <c r="M94"/>
      <c r="N94"/>
      <c r="O94"/>
      <c r="P94" s="433"/>
      <c r="Q94"/>
      <c r="R94" s="433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322" customFormat="1" ht="18" customHeight="1">
      <c r="A95" s="273"/>
      <c r="B95" s="316" t="s">
        <v>513</v>
      </c>
      <c r="C95" s="273" t="s">
        <v>514</v>
      </c>
      <c r="D95" s="273" t="s">
        <v>150</v>
      </c>
      <c r="E95" s="275">
        <v>701</v>
      </c>
      <c r="F95" s="277">
        <v>0</v>
      </c>
      <c r="G95" s="277">
        <v>0</v>
      </c>
      <c r="I95" s="277">
        <v>0</v>
      </c>
      <c r="J95" s="277">
        <v>0</v>
      </c>
      <c r="K95" s="277">
        <v>400</v>
      </c>
      <c r="L95"/>
      <c r="M95"/>
      <c r="N95"/>
      <c r="O95"/>
      <c r="P95" s="727"/>
      <c r="Q95" s="728"/>
      <c r="R95" s="729"/>
      <c r="S95" s="730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s="322" customFormat="1" ht="18" customHeight="1">
      <c r="A96" s="273"/>
      <c r="B96" s="318" t="s">
        <v>515</v>
      </c>
      <c r="C96" s="273" t="s">
        <v>139</v>
      </c>
      <c r="D96" s="273" t="s">
        <v>143</v>
      </c>
      <c r="E96" s="274">
        <v>7570</v>
      </c>
      <c r="F96" s="275">
        <v>0</v>
      </c>
      <c r="G96" s="275">
        <v>0</v>
      </c>
      <c r="I96" s="275">
        <v>0</v>
      </c>
      <c r="J96" s="275">
        <v>0</v>
      </c>
      <c r="K96" s="275">
        <v>0</v>
      </c>
      <c r="L96"/>
      <c r="M96"/>
      <c r="N96"/>
      <c r="O96"/>
      <c r="P96" s="731"/>
      <c r="Q96" s="726"/>
      <c r="R96" s="725"/>
      <c r="S96" s="732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322" customFormat="1" ht="18" customHeight="1">
      <c r="A97" s="273"/>
      <c r="B97" s="318" t="s">
        <v>265</v>
      </c>
      <c r="C97" s="273" t="s">
        <v>189</v>
      </c>
      <c r="D97" s="273" t="s">
        <v>143</v>
      </c>
      <c r="E97" s="274">
        <v>480</v>
      </c>
      <c r="F97" s="275">
        <v>0</v>
      </c>
      <c r="G97" s="275">
        <v>0</v>
      </c>
      <c r="I97" s="275">
        <v>0</v>
      </c>
      <c r="J97" s="275">
        <v>0</v>
      </c>
      <c r="K97" s="275">
        <v>0</v>
      </c>
      <c r="L97"/>
      <c r="M97"/>
      <c r="N97"/>
      <c r="O97"/>
      <c r="P97" s="731"/>
      <c r="Q97" s="726"/>
      <c r="R97" s="725"/>
      <c r="S97" s="732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322" customFormat="1" ht="18" customHeight="1">
      <c r="A98" s="273" t="s">
        <v>266</v>
      </c>
      <c r="B98" s="318" t="s">
        <v>267</v>
      </c>
      <c r="C98" s="273" t="s">
        <v>189</v>
      </c>
      <c r="D98" s="273" t="s">
        <v>143</v>
      </c>
      <c r="E98" s="274">
        <v>480</v>
      </c>
      <c r="F98" s="275">
        <v>0</v>
      </c>
      <c r="G98" s="275">
        <v>0</v>
      </c>
      <c r="I98" s="275">
        <v>0</v>
      </c>
      <c r="J98" s="275">
        <v>0</v>
      </c>
      <c r="K98" s="275">
        <v>0</v>
      </c>
      <c r="L98"/>
      <c r="M98"/>
      <c r="N98"/>
      <c r="O98"/>
      <c r="P98" s="731"/>
      <c r="Q98" s="726"/>
      <c r="R98" s="725"/>
      <c r="S98" s="732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322" customFormat="1" ht="18" customHeight="1">
      <c r="A99" s="273"/>
      <c r="B99" s="318" t="s">
        <v>268</v>
      </c>
      <c r="C99" s="273" t="s">
        <v>189</v>
      </c>
      <c r="D99" s="273" t="s">
        <v>143</v>
      </c>
      <c r="E99" s="274">
        <v>480</v>
      </c>
      <c r="F99" s="275">
        <v>0</v>
      </c>
      <c r="G99" s="275">
        <v>0</v>
      </c>
      <c r="I99" s="275">
        <v>0</v>
      </c>
      <c r="J99" s="275">
        <v>0</v>
      </c>
      <c r="K99" s="275">
        <v>0</v>
      </c>
      <c r="L99"/>
      <c r="M99"/>
      <c r="N99"/>
      <c r="O99"/>
      <c r="P99" s="731"/>
      <c r="Q99" s="726"/>
      <c r="R99" s="725"/>
      <c r="S99" s="732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322" customFormat="1" ht="18" customHeight="1">
      <c r="A100" s="273"/>
      <c r="B100" s="318" t="s">
        <v>269</v>
      </c>
      <c r="C100" s="273" t="s">
        <v>189</v>
      </c>
      <c r="D100" s="273" t="s">
        <v>143</v>
      </c>
      <c r="E100" s="274">
        <v>480</v>
      </c>
      <c r="F100" s="275">
        <v>0</v>
      </c>
      <c r="G100" s="275">
        <v>0</v>
      </c>
      <c r="I100" s="275">
        <v>0</v>
      </c>
      <c r="J100" s="275">
        <v>0</v>
      </c>
      <c r="K100" s="275">
        <v>0</v>
      </c>
      <c r="L100"/>
      <c r="M100"/>
      <c r="N100"/>
      <c r="O100"/>
      <c r="P100" s="731"/>
      <c r="Q100" s="726"/>
      <c r="R100" s="725"/>
      <c r="S100" s="732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322" customFormat="1" ht="18" customHeight="1" thickBot="1">
      <c r="A101" s="273"/>
      <c r="B101" s="318" t="s">
        <v>270</v>
      </c>
      <c r="C101" s="273" t="s">
        <v>189</v>
      </c>
      <c r="D101" s="273" t="s">
        <v>143</v>
      </c>
      <c r="E101" s="274">
        <v>480</v>
      </c>
      <c r="F101" s="275">
        <v>0</v>
      </c>
      <c r="G101" s="275">
        <v>0</v>
      </c>
      <c r="I101" s="275">
        <v>0</v>
      </c>
      <c r="J101" s="275">
        <v>0</v>
      </c>
      <c r="K101" s="275">
        <v>0</v>
      </c>
      <c r="L101"/>
      <c r="M101"/>
      <c r="N101"/>
      <c r="O101"/>
      <c r="P101" s="733"/>
      <c r="Q101" s="734"/>
      <c r="R101" s="735"/>
      <c r="S101" s="736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322" customFormat="1" ht="18" customHeight="1">
      <c r="A102" s="273"/>
      <c r="B102" s="318" t="s">
        <v>271</v>
      </c>
      <c r="C102" s="273" t="s">
        <v>156</v>
      </c>
      <c r="D102" s="273" t="s">
        <v>209</v>
      </c>
      <c r="E102" s="274">
        <v>465</v>
      </c>
      <c r="F102" s="275">
        <v>0</v>
      </c>
      <c r="G102" s="275">
        <v>0</v>
      </c>
      <c r="I102" s="275">
        <v>0</v>
      </c>
      <c r="J102" s="275">
        <v>0</v>
      </c>
      <c r="K102" s="275">
        <v>0</v>
      </c>
      <c r="L102"/>
      <c r="M102"/>
      <c r="N102"/>
      <c r="O102"/>
      <c r="P102" s="433"/>
      <c r="Q102"/>
      <c r="R102" s="433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322" customFormat="1" ht="18" customHeight="1">
      <c r="A103" s="273"/>
      <c r="B103" s="318" t="s">
        <v>272</v>
      </c>
      <c r="C103" s="273" t="s">
        <v>139</v>
      </c>
      <c r="D103" s="273" t="s">
        <v>157</v>
      </c>
      <c r="E103" s="274">
        <v>229</v>
      </c>
      <c r="F103" s="275">
        <v>0</v>
      </c>
      <c r="G103" s="275">
        <v>0</v>
      </c>
      <c r="I103" s="275">
        <v>0</v>
      </c>
      <c r="J103" s="275">
        <v>0</v>
      </c>
      <c r="K103" s="275">
        <v>0</v>
      </c>
      <c r="L103"/>
      <c r="M103"/>
      <c r="N103"/>
      <c r="O103"/>
      <c r="P103" s="433"/>
      <c r="Q103"/>
      <c r="R103" s="43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322" customFormat="1" ht="18" customHeight="1">
      <c r="A104" s="273"/>
      <c r="B104" s="316" t="s">
        <v>273</v>
      </c>
      <c r="C104" s="273" t="s">
        <v>189</v>
      </c>
      <c r="D104" s="273" t="s">
        <v>209</v>
      </c>
      <c r="E104" s="275">
        <v>712</v>
      </c>
      <c r="F104" s="277">
        <v>0</v>
      </c>
      <c r="G104" s="277">
        <v>0</v>
      </c>
      <c r="I104" s="277">
        <v>0</v>
      </c>
      <c r="J104" s="277">
        <v>0</v>
      </c>
      <c r="K104" s="277">
        <v>0</v>
      </c>
      <c r="L104"/>
      <c r="M104"/>
      <c r="N104"/>
      <c r="O104"/>
      <c r="P104" s="433"/>
      <c r="Q104"/>
      <c r="R104" s="433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322" customFormat="1" ht="18" customHeight="1">
      <c r="A105" s="273"/>
      <c r="B105" s="316" t="s">
        <v>466</v>
      </c>
      <c r="C105" s="273" t="s">
        <v>209</v>
      </c>
      <c r="D105" s="273" t="s">
        <v>315</v>
      </c>
      <c r="E105" s="275">
        <v>1665</v>
      </c>
      <c r="F105" s="277">
        <v>0</v>
      </c>
      <c r="G105" s="277">
        <v>0</v>
      </c>
      <c r="I105" s="277">
        <v>1665</v>
      </c>
      <c r="J105" s="277">
        <v>1665</v>
      </c>
      <c r="K105" s="277">
        <v>1498</v>
      </c>
      <c r="L105"/>
      <c r="M105"/>
      <c r="N105"/>
      <c r="O105"/>
      <c r="P105" s="433"/>
      <c r="Q105"/>
      <c r="R105" s="433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322" customFormat="1" ht="18" customHeight="1">
      <c r="A106" s="273" t="s">
        <v>274</v>
      </c>
      <c r="B106" s="318" t="s">
        <v>275</v>
      </c>
      <c r="C106" s="273" t="s">
        <v>276</v>
      </c>
      <c r="D106" s="273" t="s">
        <v>143</v>
      </c>
      <c r="E106" s="274">
        <v>1030</v>
      </c>
      <c r="F106" s="275">
        <v>0</v>
      </c>
      <c r="G106" s="275">
        <v>0</v>
      </c>
      <c r="I106" s="275">
        <v>0</v>
      </c>
      <c r="J106" s="275">
        <v>0</v>
      </c>
      <c r="K106" s="275">
        <v>0</v>
      </c>
      <c r="L106"/>
      <c r="M106"/>
      <c r="N106"/>
      <c r="O106"/>
      <c r="P106" s="433"/>
      <c r="Q106"/>
      <c r="R106" s="433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322" customFormat="1" ht="18" customHeight="1">
      <c r="A107" s="273" t="s">
        <v>279</v>
      </c>
      <c r="B107" s="318" t="s">
        <v>280</v>
      </c>
      <c r="C107" s="273" t="s">
        <v>230</v>
      </c>
      <c r="D107" s="273" t="s">
        <v>140</v>
      </c>
      <c r="E107" s="274">
        <v>645</v>
      </c>
      <c r="F107" s="275">
        <v>645</v>
      </c>
      <c r="G107" s="275">
        <v>645</v>
      </c>
      <c r="I107" s="275">
        <v>645</v>
      </c>
      <c r="J107" s="275">
        <v>645</v>
      </c>
      <c r="K107" s="275">
        <v>0</v>
      </c>
      <c r="L107"/>
      <c r="M107"/>
      <c r="N107"/>
      <c r="O107"/>
      <c r="P107" s="433"/>
      <c r="Q107"/>
      <c r="R107" s="433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322" customFormat="1" ht="18" customHeight="1">
      <c r="A108" s="273"/>
      <c r="B108" s="318" t="s">
        <v>282</v>
      </c>
      <c r="C108" s="273" t="s">
        <v>283</v>
      </c>
      <c r="D108" s="273" t="s">
        <v>140</v>
      </c>
      <c r="E108" s="274">
        <v>17110</v>
      </c>
      <c r="F108" s="275">
        <v>0</v>
      </c>
      <c r="G108" s="275">
        <v>0</v>
      </c>
      <c r="I108" s="275">
        <v>0</v>
      </c>
      <c r="J108" s="275">
        <v>0</v>
      </c>
      <c r="K108" s="275">
        <v>0</v>
      </c>
      <c r="L108"/>
      <c r="M108"/>
      <c r="N108"/>
      <c r="O108"/>
      <c r="P108" s="433"/>
      <c r="Q108"/>
      <c r="R108" s="433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322" customFormat="1" ht="18" customHeight="1">
      <c r="A109" s="273" t="s">
        <v>468</v>
      </c>
      <c r="B109" s="318" t="s">
        <v>467</v>
      </c>
      <c r="C109" s="273" t="s">
        <v>230</v>
      </c>
      <c r="D109" s="273" t="s">
        <v>211</v>
      </c>
      <c r="E109" s="274">
        <v>17030</v>
      </c>
      <c r="F109" s="275">
        <v>0</v>
      </c>
      <c r="G109" s="275">
        <v>0</v>
      </c>
      <c r="I109" s="275">
        <v>1520</v>
      </c>
      <c r="J109" s="275">
        <f>1520+1600</f>
        <v>3120</v>
      </c>
      <c r="K109" s="275">
        <f>1565+41</f>
        <v>1606</v>
      </c>
      <c r="L109"/>
      <c r="M109"/>
      <c r="N109"/>
      <c r="O109"/>
      <c r="P109" s="433"/>
      <c r="Q109"/>
      <c r="R109" s="433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322" customFormat="1" ht="18" customHeight="1">
      <c r="A110" s="273" t="s">
        <v>284</v>
      </c>
      <c r="B110" s="318" t="s">
        <v>285</v>
      </c>
      <c r="C110" s="273" t="s">
        <v>286</v>
      </c>
      <c r="D110" s="273" t="s">
        <v>150</v>
      </c>
      <c r="E110" s="274">
        <v>228813</v>
      </c>
      <c r="F110" s="275">
        <v>0</v>
      </c>
      <c r="G110" s="275">
        <v>0</v>
      </c>
      <c r="I110" s="275">
        <v>6000</v>
      </c>
      <c r="J110" s="275">
        <v>6000</v>
      </c>
      <c r="K110" s="275">
        <v>6142</v>
      </c>
      <c r="L110"/>
      <c r="M110"/>
      <c r="N110"/>
      <c r="O110"/>
      <c r="P110" s="433"/>
      <c r="Q110"/>
      <c r="R110" s="433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322" customFormat="1" ht="18" customHeight="1">
      <c r="A111" s="273" t="s">
        <v>470</v>
      </c>
      <c r="B111" s="318" t="s">
        <v>469</v>
      </c>
      <c r="C111" s="273" t="s">
        <v>283</v>
      </c>
      <c r="D111" s="273" t="s">
        <v>457</v>
      </c>
      <c r="E111" s="274">
        <v>68450</v>
      </c>
      <c r="F111" s="275">
        <v>0</v>
      </c>
      <c r="G111" s="275">
        <v>0</v>
      </c>
      <c r="I111" s="275">
        <v>1497</v>
      </c>
      <c r="J111" s="275">
        <v>1497</v>
      </c>
      <c r="K111" s="275">
        <v>1497</v>
      </c>
      <c r="L111"/>
      <c r="M111"/>
      <c r="N111"/>
      <c r="O111"/>
      <c r="P111" s="433"/>
      <c r="Q111"/>
      <c r="R111" s="433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322" customFormat="1" ht="18" customHeight="1">
      <c r="A112" s="273" t="s">
        <v>471</v>
      </c>
      <c r="B112" s="318" t="s">
        <v>472</v>
      </c>
      <c r="C112" s="273" t="s">
        <v>283</v>
      </c>
      <c r="D112" s="273" t="s">
        <v>457</v>
      </c>
      <c r="E112" s="274">
        <v>59620</v>
      </c>
      <c r="F112" s="275">
        <v>0</v>
      </c>
      <c r="G112" s="275">
        <v>0</v>
      </c>
      <c r="I112" s="275">
        <v>725</v>
      </c>
      <c r="J112" s="275">
        <v>725</v>
      </c>
      <c r="K112" s="275">
        <v>725</v>
      </c>
      <c r="L112"/>
      <c r="M112"/>
      <c r="N112"/>
      <c r="O112"/>
      <c r="P112" s="433"/>
      <c r="Q112"/>
      <c r="R112" s="433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322" customFormat="1" ht="18" customHeight="1">
      <c r="A113" s="273" t="s">
        <v>473</v>
      </c>
      <c r="B113" s="318" t="s">
        <v>474</v>
      </c>
      <c r="C113" s="273" t="s">
        <v>283</v>
      </c>
      <c r="D113" s="273" t="s">
        <v>457</v>
      </c>
      <c r="E113" s="274">
        <v>2692</v>
      </c>
      <c r="F113" s="275">
        <v>0</v>
      </c>
      <c r="G113" s="275">
        <v>0</v>
      </c>
      <c r="I113" s="275">
        <v>41</v>
      </c>
      <c r="J113" s="275">
        <v>41</v>
      </c>
      <c r="K113" s="275">
        <v>0</v>
      </c>
      <c r="L113"/>
      <c r="M113"/>
      <c r="N113"/>
      <c r="O113"/>
      <c r="P113" s="433"/>
      <c r="Q113"/>
      <c r="R113" s="43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s="322" customFormat="1" ht="18" customHeight="1">
      <c r="A114" s="273" t="s">
        <v>475</v>
      </c>
      <c r="B114" s="318" t="s">
        <v>479</v>
      </c>
      <c r="C114" s="273" t="s">
        <v>476</v>
      </c>
      <c r="D114" s="273" t="s">
        <v>457</v>
      </c>
      <c r="E114" s="274">
        <v>39880</v>
      </c>
      <c r="F114" s="275">
        <v>0</v>
      </c>
      <c r="G114" s="275">
        <v>0</v>
      </c>
      <c r="I114" s="275">
        <v>219</v>
      </c>
      <c r="J114" s="275">
        <v>219</v>
      </c>
      <c r="K114" s="275">
        <v>219</v>
      </c>
      <c r="L114"/>
      <c r="M114"/>
      <c r="N114"/>
      <c r="O114"/>
      <c r="P114" s="433"/>
      <c r="Q114"/>
      <c r="R114" s="433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322" customFormat="1" ht="18" customHeight="1">
      <c r="A115" s="273" t="s">
        <v>477</v>
      </c>
      <c r="B115" s="318" t="s">
        <v>478</v>
      </c>
      <c r="C115" s="273" t="s">
        <v>476</v>
      </c>
      <c r="D115" s="273" t="s">
        <v>457</v>
      </c>
      <c r="E115" s="274">
        <v>53225</v>
      </c>
      <c r="F115" s="275">
        <v>0</v>
      </c>
      <c r="G115" s="275"/>
      <c r="I115" s="275">
        <v>578</v>
      </c>
      <c r="J115" s="275">
        <v>578</v>
      </c>
      <c r="K115" s="275">
        <v>578</v>
      </c>
      <c r="L115"/>
      <c r="M115"/>
      <c r="N115"/>
      <c r="O115"/>
      <c r="P115" s="433"/>
      <c r="Q115"/>
      <c r="R115" s="433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s="322" customFormat="1" ht="18" customHeight="1">
      <c r="A116" s="273"/>
      <c r="B116" s="318" t="s">
        <v>287</v>
      </c>
      <c r="C116" s="273" t="s">
        <v>142</v>
      </c>
      <c r="D116" s="273" t="s">
        <v>150</v>
      </c>
      <c r="E116" s="274">
        <v>35350</v>
      </c>
      <c r="F116" s="275">
        <v>0</v>
      </c>
      <c r="G116" s="275">
        <v>0</v>
      </c>
      <c r="I116" s="275">
        <v>30796</v>
      </c>
      <c r="J116" s="275">
        <f>30796+3000</f>
        <v>33796</v>
      </c>
      <c r="K116" s="275">
        <v>32863</v>
      </c>
      <c r="L116"/>
      <c r="M116"/>
      <c r="N116"/>
      <c r="O116"/>
      <c r="P116" s="433"/>
      <c r="Q116"/>
      <c r="R116" s="433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s="322" customFormat="1" ht="18" customHeight="1">
      <c r="A117" s="273"/>
      <c r="B117" s="318" t="s">
        <v>288</v>
      </c>
      <c r="C117" s="273" t="s">
        <v>142</v>
      </c>
      <c r="D117" s="273" t="s">
        <v>150</v>
      </c>
      <c r="E117" s="274">
        <v>35350</v>
      </c>
      <c r="F117" s="275">
        <v>0</v>
      </c>
      <c r="G117" s="275">
        <v>0</v>
      </c>
      <c r="I117" s="275">
        <v>30814</v>
      </c>
      <c r="J117" s="275">
        <f>30814+3000</f>
        <v>33814</v>
      </c>
      <c r="K117" s="275">
        <f>33365+159</f>
        <v>33524</v>
      </c>
      <c r="L117"/>
      <c r="M117"/>
      <c r="N117"/>
      <c r="O117"/>
      <c r="P117" s="433"/>
      <c r="Q117"/>
      <c r="R117" s="433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s="322" customFormat="1" ht="18" customHeight="1">
      <c r="A118" s="273"/>
      <c r="B118" s="318" t="s">
        <v>289</v>
      </c>
      <c r="C118" s="273" t="s">
        <v>290</v>
      </c>
      <c r="D118" s="273" t="s">
        <v>150</v>
      </c>
      <c r="E118" s="274">
        <v>45200</v>
      </c>
      <c r="F118" s="275">
        <v>0</v>
      </c>
      <c r="G118" s="275">
        <v>0</v>
      </c>
      <c r="I118" s="275">
        <v>40408</v>
      </c>
      <c r="J118" s="275">
        <f>40408+5000</f>
        <v>45408</v>
      </c>
      <c r="K118" s="275">
        <v>45216</v>
      </c>
      <c r="L118"/>
      <c r="M118"/>
      <c r="N118"/>
      <c r="O118"/>
      <c r="P118" s="433"/>
      <c r="Q118"/>
      <c r="R118" s="433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s="322" customFormat="1" ht="18" customHeight="1">
      <c r="A119" s="273" t="s">
        <v>291</v>
      </c>
      <c r="B119" s="318" t="s">
        <v>292</v>
      </c>
      <c r="C119" s="273" t="s">
        <v>293</v>
      </c>
      <c r="D119" s="273" t="s">
        <v>294</v>
      </c>
      <c r="E119" s="274">
        <v>48000</v>
      </c>
      <c r="F119" s="275">
        <v>0</v>
      </c>
      <c r="G119" s="275">
        <v>0</v>
      </c>
      <c r="I119" s="275">
        <v>0</v>
      </c>
      <c r="J119" s="275">
        <v>0</v>
      </c>
      <c r="K119" s="275">
        <v>33</v>
      </c>
      <c r="L119"/>
      <c r="M119"/>
      <c r="N119"/>
      <c r="O119"/>
      <c r="P119" s="433"/>
      <c r="Q119"/>
      <c r="R119" s="433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s="322" customFormat="1" ht="18" customHeight="1">
      <c r="A120" s="273"/>
      <c r="B120" s="318" t="s">
        <v>295</v>
      </c>
      <c r="C120" s="273" t="s">
        <v>296</v>
      </c>
      <c r="D120" s="273" t="s">
        <v>150</v>
      </c>
      <c r="E120" s="274">
        <v>2125</v>
      </c>
      <c r="F120" s="275">
        <v>0</v>
      </c>
      <c r="G120" s="275">
        <v>0</v>
      </c>
      <c r="I120" s="275">
        <v>0</v>
      </c>
      <c r="J120" s="275">
        <v>510</v>
      </c>
      <c r="K120" s="275">
        <v>209</v>
      </c>
      <c r="L120"/>
      <c r="M120"/>
      <c r="N120"/>
      <c r="O120"/>
      <c r="P120" s="433"/>
      <c r="Q120"/>
      <c r="R120" s="433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s="322" customFormat="1" ht="18" customHeight="1">
      <c r="A121" s="273"/>
      <c r="B121" s="318" t="s">
        <v>297</v>
      </c>
      <c r="C121" s="273" t="s">
        <v>139</v>
      </c>
      <c r="D121" s="273" t="s">
        <v>150</v>
      </c>
      <c r="E121" s="274">
        <v>109601</v>
      </c>
      <c r="F121" s="275">
        <v>0</v>
      </c>
      <c r="G121" s="275">
        <v>0</v>
      </c>
      <c r="I121" s="275">
        <v>0</v>
      </c>
      <c r="J121" s="275">
        <v>100</v>
      </c>
      <c r="K121" s="275">
        <v>97</v>
      </c>
      <c r="L121"/>
      <c r="M121"/>
      <c r="N121"/>
      <c r="O121"/>
      <c r="P121" s="433"/>
      <c r="Q121"/>
      <c r="R121" s="433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s="322" customFormat="1" ht="18" customHeight="1">
      <c r="A122" s="273"/>
      <c r="B122" s="318" t="s">
        <v>298</v>
      </c>
      <c r="C122" s="273" t="s">
        <v>139</v>
      </c>
      <c r="D122" s="273" t="s">
        <v>150</v>
      </c>
      <c r="E122" s="274">
        <v>100708</v>
      </c>
      <c r="F122" s="275">
        <v>0</v>
      </c>
      <c r="G122" s="275">
        <v>0</v>
      </c>
      <c r="I122" s="275">
        <v>0</v>
      </c>
      <c r="J122" s="275">
        <v>120</v>
      </c>
      <c r="K122" s="275">
        <v>112</v>
      </c>
      <c r="L122"/>
      <c r="M122"/>
      <c r="N122"/>
      <c r="O122"/>
      <c r="P122" s="433"/>
      <c r="Q122"/>
      <c r="R122" s="433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s="322" customFormat="1" ht="18" customHeight="1">
      <c r="A123" s="273"/>
      <c r="B123" s="318" t="s">
        <v>299</v>
      </c>
      <c r="C123" s="273" t="s">
        <v>300</v>
      </c>
      <c r="D123" s="273" t="s">
        <v>150</v>
      </c>
      <c r="E123" s="274">
        <v>49950</v>
      </c>
      <c r="F123" s="275">
        <v>0</v>
      </c>
      <c r="G123" s="275">
        <v>0</v>
      </c>
      <c r="I123" s="275">
        <v>0</v>
      </c>
      <c r="J123" s="275">
        <v>630</v>
      </c>
      <c r="K123" s="275">
        <v>630</v>
      </c>
      <c r="L123"/>
      <c r="M123"/>
      <c r="N123"/>
      <c r="O123"/>
      <c r="P123" s="433"/>
      <c r="Q123"/>
      <c r="R123" s="43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s="322" customFormat="1" ht="18" customHeight="1">
      <c r="A124" s="273"/>
      <c r="B124" s="318" t="s">
        <v>301</v>
      </c>
      <c r="C124" s="273" t="s">
        <v>300</v>
      </c>
      <c r="D124" s="273" t="s">
        <v>150</v>
      </c>
      <c r="E124" s="274">
        <v>52935</v>
      </c>
      <c r="F124" s="275">
        <v>0</v>
      </c>
      <c r="G124" s="275">
        <v>0</v>
      </c>
      <c r="I124" s="275">
        <v>49567</v>
      </c>
      <c r="J124" s="275">
        <v>49567</v>
      </c>
      <c r="K124" s="275">
        <v>36983</v>
      </c>
      <c r="L124"/>
      <c r="M124"/>
      <c r="N124"/>
      <c r="O124"/>
      <c r="P124" s="433"/>
      <c r="Q124"/>
      <c r="R124" s="433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s="326" customFormat="1" ht="18" customHeight="1">
      <c r="A125" s="376"/>
      <c r="B125" s="318" t="s">
        <v>302</v>
      </c>
      <c r="C125" s="273" t="s">
        <v>300</v>
      </c>
      <c r="D125" s="273" t="s">
        <v>150</v>
      </c>
      <c r="E125" s="274">
        <v>2990</v>
      </c>
      <c r="F125" s="275">
        <v>0</v>
      </c>
      <c r="G125" s="275">
        <v>0</v>
      </c>
      <c r="H125" s="322"/>
      <c r="I125" s="275">
        <v>0</v>
      </c>
      <c r="J125" s="275">
        <v>0</v>
      </c>
      <c r="K125" s="275">
        <v>0</v>
      </c>
      <c r="L125"/>
      <c r="M125"/>
      <c r="N125"/>
      <c r="O125"/>
      <c r="P125" s="433"/>
      <c r="Q125"/>
      <c r="R125" s="433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s="319" customFormat="1" ht="18" customHeight="1">
      <c r="A126" s="249"/>
      <c r="B126" s="279"/>
      <c r="C126" s="249"/>
      <c r="D126" s="249"/>
      <c r="E126" s="251"/>
      <c r="F126" s="280"/>
      <c r="G126" s="280"/>
      <c r="I126" s="280"/>
      <c r="J126" s="280"/>
      <c r="K126" s="280"/>
      <c r="L126" s="59"/>
      <c r="M126" s="59"/>
      <c r="N126" s="59"/>
      <c r="O126" s="59"/>
      <c r="P126" s="724"/>
      <c r="Q126" s="59"/>
      <c r="R126" s="724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</row>
    <row r="127" spans="1:49" s="319" customFormat="1" ht="18" customHeight="1">
      <c r="A127" s="249"/>
      <c r="B127" s="279"/>
      <c r="C127" s="249"/>
      <c r="D127" s="249"/>
      <c r="E127" s="251"/>
      <c r="F127" s="280"/>
      <c r="G127" s="251"/>
      <c r="I127" s="313"/>
      <c r="J127" s="313"/>
      <c r="K127" s="313" t="s">
        <v>939</v>
      </c>
      <c r="L127" s="59"/>
      <c r="M127" s="59"/>
      <c r="N127" s="59"/>
      <c r="O127" s="59"/>
      <c r="P127" s="724"/>
      <c r="Q127" s="59"/>
      <c r="R127" s="724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</row>
    <row r="128" spans="1:49" s="319" customFormat="1" ht="18" customHeight="1" thickBot="1">
      <c r="A128" s="248"/>
      <c r="B128" s="248"/>
      <c r="C128" s="248"/>
      <c r="D128" s="248"/>
      <c r="E128" s="248"/>
      <c r="F128" s="320"/>
      <c r="G128" s="251"/>
      <c r="I128" s="251"/>
      <c r="J128" s="251"/>
      <c r="K128" s="251" t="s">
        <v>128</v>
      </c>
      <c r="L128" s="59"/>
      <c r="M128" s="59"/>
      <c r="N128" s="59"/>
      <c r="O128" s="59"/>
      <c r="P128" s="724"/>
      <c r="Q128" s="59"/>
      <c r="R128" s="724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</row>
    <row r="129" spans="1:49" s="358" customFormat="1" ht="18" customHeight="1">
      <c r="A129" s="359"/>
      <c r="B129" s="362"/>
      <c r="C129" s="363" t="s">
        <v>129</v>
      </c>
      <c r="D129" s="363" t="s">
        <v>130</v>
      </c>
      <c r="E129" s="364" t="s">
        <v>131</v>
      </c>
      <c r="F129" s="365" t="s">
        <v>2</v>
      </c>
      <c r="G129" s="365" t="s">
        <v>29</v>
      </c>
      <c r="H129" s="366"/>
      <c r="I129" s="365" t="s">
        <v>443</v>
      </c>
      <c r="J129" s="365" t="s">
        <v>2</v>
      </c>
      <c r="K129" s="367" t="s">
        <v>503</v>
      </c>
      <c r="L129"/>
      <c r="M129"/>
      <c r="N129"/>
      <c r="O129"/>
      <c r="P129" s="433"/>
      <c r="Q129"/>
      <c r="R129" s="433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s="322" customFormat="1" ht="18" customHeight="1">
      <c r="A130" s="360"/>
      <c r="B130" s="368" t="s">
        <v>132</v>
      </c>
      <c r="C130" s="353" t="s">
        <v>133</v>
      </c>
      <c r="D130" s="353" t="s">
        <v>134</v>
      </c>
      <c r="E130" s="354" t="s">
        <v>135</v>
      </c>
      <c r="F130" s="355" t="s">
        <v>80</v>
      </c>
      <c r="G130" s="355" t="s">
        <v>81</v>
      </c>
      <c r="I130" s="355" t="s">
        <v>81</v>
      </c>
      <c r="J130" s="355" t="s">
        <v>80</v>
      </c>
      <c r="K130" s="369" t="s">
        <v>81</v>
      </c>
      <c r="L130"/>
      <c r="M130"/>
      <c r="N130"/>
      <c r="O130"/>
      <c r="P130" s="433"/>
      <c r="Q130"/>
      <c r="R130" s="433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s="322" customFormat="1" ht="18" customHeight="1" thickBot="1">
      <c r="A131" s="360"/>
      <c r="B131" s="370"/>
      <c r="C131" s="371"/>
      <c r="D131" s="371"/>
      <c r="E131" s="372" t="s">
        <v>136</v>
      </c>
      <c r="F131" s="373">
        <v>2006</v>
      </c>
      <c r="G131" s="373" t="s">
        <v>5</v>
      </c>
      <c r="H131" s="374"/>
      <c r="I131" s="373" t="s">
        <v>5</v>
      </c>
      <c r="J131" s="373">
        <v>2006</v>
      </c>
      <c r="K131" s="375" t="s">
        <v>504</v>
      </c>
      <c r="L131"/>
      <c r="M131"/>
      <c r="N131"/>
      <c r="O131"/>
      <c r="P131" s="433"/>
      <c r="Q131"/>
      <c r="R131" s="433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s="322" customFormat="1" ht="18" customHeight="1">
      <c r="A132" s="273"/>
      <c r="B132" s="361" t="s">
        <v>303</v>
      </c>
      <c r="C132" s="269" t="s">
        <v>304</v>
      </c>
      <c r="D132" s="269" t="s">
        <v>146</v>
      </c>
      <c r="E132" s="276">
        <v>2455</v>
      </c>
      <c r="F132" s="270">
        <v>0</v>
      </c>
      <c r="G132" s="270">
        <v>0</v>
      </c>
      <c r="H132" s="358"/>
      <c r="I132" s="270">
        <v>0</v>
      </c>
      <c r="J132" s="270">
        <v>0</v>
      </c>
      <c r="K132" s="270">
        <v>0</v>
      </c>
      <c r="L132"/>
      <c r="M132"/>
      <c r="N132"/>
      <c r="O132"/>
      <c r="P132" s="433"/>
      <c r="Q132"/>
      <c r="R132" s="433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s="322" customFormat="1" ht="18" customHeight="1">
      <c r="A133" s="273" t="s">
        <v>313</v>
      </c>
      <c r="B133" s="318" t="s">
        <v>314</v>
      </c>
      <c r="C133" s="273" t="s">
        <v>168</v>
      </c>
      <c r="D133" s="273" t="s">
        <v>254</v>
      </c>
      <c r="E133" s="274">
        <v>10844</v>
      </c>
      <c r="F133" s="275">
        <v>0</v>
      </c>
      <c r="G133" s="275">
        <v>0</v>
      </c>
      <c r="I133" s="275">
        <v>1614</v>
      </c>
      <c r="J133" s="275">
        <v>1614</v>
      </c>
      <c r="K133" s="275">
        <v>1623</v>
      </c>
      <c r="L133"/>
      <c r="M133"/>
      <c r="N133"/>
      <c r="O133"/>
      <c r="P133" s="433"/>
      <c r="Q133"/>
      <c r="R133" s="4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s="323" customFormat="1" ht="18" customHeight="1">
      <c r="A134" s="281"/>
      <c r="B134" s="317" t="s">
        <v>480</v>
      </c>
      <c r="C134" s="281" t="s">
        <v>481</v>
      </c>
      <c r="D134" s="281" t="s">
        <v>150</v>
      </c>
      <c r="E134" s="282">
        <v>13400</v>
      </c>
      <c r="F134" s="283">
        <v>0</v>
      </c>
      <c r="G134" s="283">
        <v>0</v>
      </c>
      <c r="I134" s="283">
        <v>0</v>
      </c>
      <c r="J134" s="283">
        <v>6900</v>
      </c>
      <c r="K134" s="283">
        <v>5162</v>
      </c>
      <c r="L134"/>
      <c r="M134"/>
      <c r="N134"/>
      <c r="O134"/>
      <c r="P134" s="433"/>
      <c r="Q134"/>
      <c r="R134" s="433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s="322" customFormat="1" ht="18" customHeight="1">
      <c r="A135" s="273"/>
      <c r="B135" s="316" t="s">
        <v>305</v>
      </c>
      <c r="C135" s="273" t="s">
        <v>304</v>
      </c>
      <c r="D135" s="273" t="s">
        <v>146</v>
      </c>
      <c r="E135" s="275">
        <v>2888</v>
      </c>
      <c r="F135" s="277">
        <v>0</v>
      </c>
      <c r="G135" s="277">
        <v>0</v>
      </c>
      <c r="I135" s="277">
        <v>0</v>
      </c>
      <c r="J135" s="277">
        <v>0</v>
      </c>
      <c r="K135" s="277">
        <v>0</v>
      </c>
      <c r="L135"/>
      <c r="M135"/>
      <c r="N135"/>
      <c r="O135"/>
      <c r="P135" s="433"/>
      <c r="Q135"/>
      <c r="R135" s="433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s="322" customFormat="1" ht="18" customHeight="1">
      <c r="A136" s="273"/>
      <c r="B136" s="316" t="s">
        <v>495</v>
      </c>
      <c r="C136" s="273" t="s">
        <v>304</v>
      </c>
      <c r="D136" s="273" t="s">
        <v>146</v>
      </c>
      <c r="E136" s="275">
        <v>2888</v>
      </c>
      <c r="F136" s="277">
        <v>0</v>
      </c>
      <c r="G136" s="277">
        <v>0</v>
      </c>
      <c r="I136" s="277">
        <v>0</v>
      </c>
      <c r="J136" s="277">
        <v>732</v>
      </c>
      <c r="K136" s="277">
        <v>0</v>
      </c>
      <c r="L136"/>
      <c r="M136"/>
      <c r="N136"/>
      <c r="O136"/>
      <c r="P136" s="433"/>
      <c r="Q136"/>
      <c r="R136" s="433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s="322" customFormat="1" ht="18" customHeight="1">
      <c r="A137" s="273" t="s">
        <v>306</v>
      </c>
      <c r="B137" s="318" t="s">
        <v>307</v>
      </c>
      <c r="C137" s="273" t="s">
        <v>308</v>
      </c>
      <c r="D137" s="273" t="s">
        <v>143</v>
      </c>
      <c r="E137" s="274">
        <v>4775</v>
      </c>
      <c r="F137" s="275">
        <v>0</v>
      </c>
      <c r="G137" s="275">
        <v>0</v>
      </c>
      <c r="I137" s="275">
        <v>97</v>
      </c>
      <c r="J137" s="275">
        <v>1037</v>
      </c>
      <c r="K137" s="275">
        <v>1095</v>
      </c>
      <c r="L137"/>
      <c r="M137"/>
      <c r="N137"/>
      <c r="O137"/>
      <c r="P137" s="433"/>
      <c r="Q137"/>
      <c r="R137" s="433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322" customFormat="1" ht="18" customHeight="1">
      <c r="A138" s="273"/>
      <c r="B138" s="318" t="s">
        <v>309</v>
      </c>
      <c r="C138" s="273" t="s">
        <v>165</v>
      </c>
      <c r="D138" s="273" t="s">
        <v>154</v>
      </c>
      <c r="E138" s="274">
        <v>442</v>
      </c>
      <c r="F138" s="275">
        <v>0</v>
      </c>
      <c r="G138" s="275">
        <v>0</v>
      </c>
      <c r="I138" s="275">
        <v>0</v>
      </c>
      <c r="J138" s="275">
        <v>0</v>
      </c>
      <c r="K138" s="275">
        <v>0</v>
      </c>
      <c r="L138"/>
      <c r="M138"/>
      <c r="N138"/>
      <c r="O138"/>
      <c r="P138" s="433"/>
      <c r="Q138"/>
      <c r="R138" s="433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322" customFormat="1" ht="18" customHeight="1">
      <c r="A139" s="273" t="s">
        <v>310</v>
      </c>
      <c r="B139" s="316" t="s">
        <v>311</v>
      </c>
      <c r="C139" s="273" t="s">
        <v>168</v>
      </c>
      <c r="D139" s="273" t="s">
        <v>150</v>
      </c>
      <c r="E139" s="275">
        <v>47055</v>
      </c>
      <c r="F139" s="277">
        <v>0</v>
      </c>
      <c r="G139" s="277">
        <v>0</v>
      </c>
      <c r="I139" s="277">
        <v>0</v>
      </c>
      <c r="J139" s="277">
        <v>700</v>
      </c>
      <c r="K139" s="277">
        <v>778</v>
      </c>
      <c r="L139"/>
      <c r="M139"/>
      <c r="N139"/>
      <c r="O139"/>
      <c r="P139" s="433"/>
      <c r="Q139"/>
      <c r="R139" s="433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322" customFormat="1" ht="18" customHeight="1">
      <c r="A140" s="273"/>
      <c r="B140" s="316" t="s">
        <v>312</v>
      </c>
      <c r="C140" s="273" t="s">
        <v>143</v>
      </c>
      <c r="D140" s="273" t="s">
        <v>496</v>
      </c>
      <c r="E140" s="275">
        <v>1000</v>
      </c>
      <c r="F140" s="277">
        <v>0</v>
      </c>
      <c r="G140" s="277">
        <v>0</v>
      </c>
      <c r="I140" s="277">
        <v>0</v>
      </c>
      <c r="J140" s="277">
        <v>0</v>
      </c>
      <c r="K140" s="277">
        <v>0</v>
      </c>
      <c r="L140"/>
      <c r="M140"/>
      <c r="N140"/>
      <c r="O140"/>
      <c r="P140" s="433"/>
      <c r="Q140"/>
      <c r="R140" s="433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2:49" s="322" customFormat="1" ht="18" customHeight="1">
      <c r="B141" s="316" t="s">
        <v>489</v>
      </c>
      <c r="C141" s="273" t="s">
        <v>498</v>
      </c>
      <c r="D141" s="273" t="s">
        <v>150</v>
      </c>
      <c r="E141" s="275">
        <v>1150</v>
      </c>
      <c r="F141" s="277">
        <v>0</v>
      </c>
      <c r="G141" s="277">
        <v>0</v>
      </c>
      <c r="I141" s="277">
        <v>1150</v>
      </c>
      <c r="J141" s="277">
        <v>1150</v>
      </c>
      <c r="K141" s="277">
        <v>1090</v>
      </c>
      <c r="L141"/>
      <c r="M141"/>
      <c r="N141"/>
      <c r="O141"/>
      <c r="P141" s="433"/>
      <c r="Q141"/>
      <c r="R141" s="433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322" customFormat="1" ht="18" customHeight="1">
      <c r="A142" s="318"/>
      <c r="B142" s="318" t="s">
        <v>439</v>
      </c>
      <c r="C142" s="273" t="s">
        <v>157</v>
      </c>
      <c r="D142" s="273" t="s">
        <v>499</v>
      </c>
      <c r="E142" s="318">
        <v>245</v>
      </c>
      <c r="F142" s="275">
        <v>0</v>
      </c>
      <c r="G142" s="275">
        <v>180</v>
      </c>
      <c r="I142" s="275">
        <v>180</v>
      </c>
      <c r="J142" s="275">
        <v>180</v>
      </c>
      <c r="K142" s="275">
        <v>195</v>
      </c>
      <c r="L142"/>
      <c r="M142"/>
      <c r="N142"/>
      <c r="O142"/>
      <c r="P142" s="433"/>
      <c r="Q142"/>
      <c r="R142" s="433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322" customFormat="1" ht="18" customHeight="1">
      <c r="A143" s="318"/>
      <c r="B143" s="318" t="s">
        <v>508</v>
      </c>
      <c r="C143" s="281" t="s">
        <v>481</v>
      </c>
      <c r="D143" s="281" t="s">
        <v>496</v>
      </c>
      <c r="E143" s="274">
        <v>15000</v>
      </c>
      <c r="F143" s="275">
        <v>0</v>
      </c>
      <c r="G143" s="275">
        <v>0</v>
      </c>
      <c r="I143" s="275">
        <v>0</v>
      </c>
      <c r="J143" s="275">
        <v>6000</v>
      </c>
      <c r="K143" s="275">
        <v>6034</v>
      </c>
      <c r="L143" s="11"/>
      <c r="M143"/>
      <c r="N143"/>
      <c r="O143"/>
      <c r="P143" s="433"/>
      <c r="Q143"/>
      <c r="R143" s="43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322" customFormat="1" ht="18" customHeight="1">
      <c r="A144" s="318"/>
      <c r="B144" s="318" t="s">
        <v>500</v>
      </c>
      <c r="C144" s="281" t="s">
        <v>254</v>
      </c>
      <c r="D144" s="281" t="s">
        <v>143</v>
      </c>
      <c r="E144" s="274">
        <v>5500</v>
      </c>
      <c r="F144" s="275">
        <v>0</v>
      </c>
      <c r="G144" s="275">
        <v>0</v>
      </c>
      <c r="I144" s="275">
        <v>0</v>
      </c>
      <c r="J144" s="275">
        <v>4400</v>
      </c>
      <c r="K144" s="275">
        <v>4376</v>
      </c>
      <c r="L144" s="11"/>
      <c r="M144"/>
      <c r="N144"/>
      <c r="O144"/>
      <c r="P144" s="433"/>
      <c r="Q144"/>
      <c r="R144" s="433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322" customFormat="1" ht="18" customHeight="1">
      <c r="A145" s="318"/>
      <c r="B145" s="318" t="s">
        <v>501</v>
      </c>
      <c r="C145" s="281" t="s">
        <v>186</v>
      </c>
      <c r="D145" s="281" t="s">
        <v>143</v>
      </c>
      <c r="E145" s="274">
        <v>5520</v>
      </c>
      <c r="F145" s="318">
        <v>0</v>
      </c>
      <c r="G145" s="318">
        <v>0</v>
      </c>
      <c r="H145" s="318">
        <v>0</v>
      </c>
      <c r="I145" s="318">
        <v>0</v>
      </c>
      <c r="J145" s="275">
        <v>4400</v>
      </c>
      <c r="K145" s="274">
        <v>4395</v>
      </c>
      <c r="L145" s="11"/>
      <c r="M145"/>
      <c r="N145"/>
      <c r="O145"/>
      <c r="P145" s="433"/>
      <c r="Q145"/>
      <c r="R145" s="433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322" customFormat="1" ht="18" customHeight="1">
      <c r="A146" s="318"/>
      <c r="B146" s="318" t="s">
        <v>502</v>
      </c>
      <c r="C146" s="281" t="s">
        <v>165</v>
      </c>
      <c r="D146" s="281" t="s">
        <v>143</v>
      </c>
      <c r="E146" s="274">
        <v>4100</v>
      </c>
      <c r="F146" s="318">
        <v>0</v>
      </c>
      <c r="G146" s="318">
        <v>0</v>
      </c>
      <c r="H146" s="318">
        <v>0</v>
      </c>
      <c r="I146" s="318">
        <v>0</v>
      </c>
      <c r="J146" s="275">
        <v>3700</v>
      </c>
      <c r="K146" s="274">
        <v>3624</v>
      </c>
      <c r="L146" s="11"/>
      <c r="M146"/>
      <c r="N146"/>
      <c r="O146"/>
      <c r="P146" s="433"/>
      <c r="Q146"/>
      <c r="R146" s="433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77" ht="18" customHeight="1">
      <c r="B177" s="737" t="s">
        <v>832</v>
      </c>
    </row>
    <row r="178" ht="18" customHeight="1">
      <c r="B178" s="738"/>
    </row>
    <row r="179" ht="18" customHeight="1">
      <c r="B179" s="738" t="s">
        <v>833</v>
      </c>
    </row>
    <row r="180" ht="18" customHeight="1">
      <c r="B180" s="740" t="s">
        <v>834</v>
      </c>
    </row>
    <row r="181" ht="18" customHeight="1">
      <c r="B181" s="740" t="s">
        <v>835</v>
      </c>
    </row>
    <row r="182" ht="18" customHeight="1">
      <c r="B182" s="739"/>
    </row>
    <row r="183" ht="18" customHeight="1">
      <c r="B183" s="738" t="s">
        <v>836</v>
      </c>
    </row>
    <row r="184" ht="18" customHeight="1">
      <c r="B184" s="739" t="s">
        <v>837</v>
      </c>
    </row>
    <row r="185" ht="18" customHeight="1">
      <c r="B185" s="739"/>
    </row>
    <row r="186" ht="18" customHeight="1">
      <c r="B186" s="738" t="s">
        <v>838</v>
      </c>
    </row>
    <row r="187" ht="18" customHeight="1">
      <c r="B187" s="739" t="s">
        <v>839</v>
      </c>
    </row>
    <row r="188" ht="18" customHeight="1">
      <c r="B188" s="739"/>
    </row>
    <row r="189" ht="18" customHeight="1">
      <c r="B189" s="738" t="s">
        <v>840</v>
      </c>
    </row>
    <row r="190" ht="18" customHeight="1">
      <c r="B190" s="739" t="s">
        <v>841</v>
      </c>
    </row>
    <row r="191" ht="18" customHeight="1">
      <c r="B191" s="738"/>
    </row>
    <row r="192" ht="18" customHeight="1">
      <c r="B192" s="737" t="s">
        <v>842</v>
      </c>
    </row>
    <row r="193" ht="18" customHeight="1">
      <c r="B193" s="738" t="s">
        <v>843</v>
      </c>
    </row>
    <row r="194" ht="18" customHeight="1">
      <c r="B194" s="739" t="s">
        <v>844</v>
      </c>
    </row>
    <row r="195" ht="18" customHeight="1">
      <c r="B195" s="738" t="s">
        <v>845</v>
      </c>
    </row>
    <row r="196" ht="18" customHeight="1">
      <c r="B196" s="739" t="s">
        <v>846</v>
      </c>
    </row>
    <row r="197" ht="18" customHeight="1">
      <c r="B197" s="738" t="s">
        <v>847</v>
      </c>
    </row>
    <row r="198" ht="18" customHeight="1">
      <c r="B198" s="738" t="s">
        <v>848</v>
      </c>
    </row>
    <row r="199" ht="18" customHeight="1">
      <c r="B199" s="738" t="s">
        <v>849</v>
      </c>
    </row>
    <row r="200" ht="18" customHeight="1">
      <c r="B200" s="738" t="s">
        <v>850</v>
      </c>
    </row>
    <row r="201" ht="18" customHeight="1">
      <c r="B201" s="738" t="s">
        <v>851</v>
      </c>
    </row>
    <row r="202" ht="18" customHeight="1">
      <c r="B202" s="738" t="s">
        <v>852</v>
      </c>
    </row>
    <row r="203" ht="18" customHeight="1">
      <c r="B203" s="738" t="s">
        <v>853</v>
      </c>
    </row>
    <row r="204" ht="18" customHeight="1">
      <c r="B204" s="739" t="s">
        <v>854</v>
      </c>
    </row>
    <row r="205" ht="18" customHeight="1">
      <c r="B205" s="738" t="s">
        <v>855</v>
      </c>
    </row>
    <row r="206" ht="18" customHeight="1">
      <c r="B206" s="739" t="s">
        <v>856</v>
      </c>
    </row>
    <row r="207" ht="18" customHeight="1">
      <c r="B207" s="738" t="s">
        <v>857</v>
      </c>
    </row>
    <row r="208" ht="18" customHeight="1">
      <c r="B208" s="738" t="s">
        <v>858</v>
      </c>
    </row>
    <row r="209" ht="18" customHeight="1">
      <c r="B209" s="738" t="s">
        <v>859</v>
      </c>
    </row>
    <row r="210" ht="18" customHeight="1">
      <c r="B210" s="739" t="s">
        <v>860</v>
      </c>
    </row>
    <row r="211" ht="18" customHeight="1">
      <c r="B211" s="738"/>
    </row>
    <row r="212" ht="18" customHeight="1">
      <c r="B212" s="737" t="s">
        <v>861</v>
      </c>
    </row>
    <row r="213" ht="18" customHeight="1">
      <c r="B213" s="738" t="s">
        <v>862</v>
      </c>
    </row>
    <row r="214" ht="18" customHeight="1">
      <c r="B214" s="739" t="s">
        <v>863</v>
      </c>
    </row>
    <row r="215" ht="18" customHeight="1">
      <c r="B215" s="739"/>
    </row>
    <row r="216" ht="18" customHeight="1">
      <c r="B216" s="737" t="s">
        <v>864</v>
      </c>
    </row>
    <row r="217" ht="18" customHeight="1">
      <c r="B217" s="738" t="s">
        <v>865</v>
      </c>
    </row>
    <row r="218" ht="18" customHeight="1">
      <c r="B218" s="738" t="s">
        <v>866</v>
      </c>
    </row>
    <row r="219" ht="18" customHeight="1">
      <c r="B219" s="738" t="s">
        <v>867</v>
      </c>
    </row>
    <row r="220" ht="18" customHeight="1">
      <c r="B220" s="739" t="s">
        <v>868</v>
      </c>
    </row>
    <row r="221" ht="18" customHeight="1">
      <c r="B221" s="738" t="s">
        <v>869</v>
      </c>
    </row>
    <row r="222" ht="18" customHeight="1">
      <c r="B222" s="738" t="s">
        <v>870</v>
      </c>
    </row>
    <row r="223" ht="18" customHeight="1">
      <c r="B223" s="739" t="s">
        <v>871</v>
      </c>
    </row>
    <row r="224" ht="18" customHeight="1">
      <c r="B224" s="741" t="s">
        <v>872</v>
      </c>
    </row>
    <row r="225" ht="18" customHeight="1">
      <c r="B225" s="741" t="s">
        <v>873</v>
      </c>
    </row>
    <row r="226" ht="18" customHeight="1">
      <c r="B226" s="741" t="s">
        <v>874</v>
      </c>
    </row>
    <row r="227" ht="18" customHeight="1">
      <c r="B227" s="739" t="s">
        <v>875</v>
      </c>
    </row>
    <row r="228" ht="18" customHeight="1">
      <c r="B228" s="739" t="s">
        <v>876</v>
      </c>
    </row>
    <row r="229" ht="18" customHeight="1">
      <c r="B229" s="738" t="s">
        <v>877</v>
      </c>
    </row>
    <row r="230" ht="18" customHeight="1">
      <c r="B230" s="738" t="s">
        <v>878</v>
      </c>
    </row>
    <row r="231" ht="18" customHeight="1">
      <c r="B231" s="738" t="s">
        <v>879</v>
      </c>
    </row>
    <row r="232" ht="18" customHeight="1">
      <c r="B232" s="739" t="s">
        <v>880</v>
      </c>
    </row>
    <row r="233" ht="18" customHeight="1">
      <c r="B233" s="738" t="s">
        <v>881</v>
      </c>
    </row>
    <row r="234" ht="18" customHeight="1">
      <c r="B234" s="738" t="s">
        <v>882</v>
      </c>
    </row>
    <row r="235" ht="18" customHeight="1">
      <c r="B235" s="739" t="s">
        <v>883</v>
      </c>
    </row>
    <row r="236" ht="18" customHeight="1">
      <c r="B236" s="739" t="s">
        <v>884</v>
      </c>
    </row>
    <row r="237" ht="18" customHeight="1">
      <c r="B237" s="738" t="s">
        <v>885</v>
      </c>
    </row>
    <row r="238" ht="18" customHeight="1">
      <c r="B238" s="739" t="s">
        <v>886</v>
      </c>
    </row>
    <row r="239" ht="18" customHeight="1">
      <c r="B239" s="738" t="s">
        <v>887</v>
      </c>
    </row>
    <row r="240" ht="18" customHeight="1">
      <c r="B240" s="739" t="s">
        <v>888</v>
      </c>
    </row>
    <row r="241" ht="18" customHeight="1">
      <c r="B241" s="738" t="s">
        <v>889</v>
      </c>
    </row>
    <row r="242" ht="18" customHeight="1">
      <c r="B242" s="738" t="s">
        <v>890</v>
      </c>
    </row>
    <row r="243" ht="18" customHeight="1">
      <c r="B243" s="739" t="s">
        <v>891</v>
      </c>
    </row>
    <row r="244" ht="18" customHeight="1">
      <c r="B244" s="738" t="s">
        <v>892</v>
      </c>
    </row>
    <row r="245" ht="18" customHeight="1">
      <c r="B245" s="739" t="s">
        <v>875</v>
      </c>
    </row>
    <row r="246" ht="18" customHeight="1">
      <c r="B246" s="739" t="s">
        <v>893</v>
      </c>
    </row>
    <row r="247" ht="18" customHeight="1">
      <c r="B247" s="738" t="s">
        <v>894</v>
      </c>
    </row>
    <row r="248" ht="18" customHeight="1">
      <c r="B248" s="739" t="s">
        <v>895</v>
      </c>
    </row>
    <row r="249" ht="18" customHeight="1">
      <c r="B249" s="738" t="s">
        <v>896</v>
      </c>
    </row>
    <row r="250" ht="18" customHeight="1">
      <c r="B250" s="739" t="s">
        <v>897</v>
      </c>
    </row>
    <row r="251" ht="18" customHeight="1">
      <c r="B251" s="738" t="s">
        <v>898</v>
      </c>
    </row>
    <row r="252" ht="18" customHeight="1">
      <c r="B252" s="739" t="s">
        <v>899</v>
      </c>
    </row>
    <row r="253" ht="18" customHeight="1">
      <c r="B253" s="738" t="s">
        <v>900</v>
      </c>
    </row>
    <row r="254" ht="18" customHeight="1">
      <c r="B254" s="738" t="s">
        <v>901</v>
      </c>
    </row>
    <row r="255" ht="18" customHeight="1">
      <c r="B255" s="739" t="s">
        <v>902</v>
      </c>
    </row>
    <row r="256" ht="18" customHeight="1">
      <c r="B256" s="738" t="s">
        <v>903</v>
      </c>
    </row>
    <row r="257" ht="18" customHeight="1">
      <c r="B257" s="739" t="s">
        <v>904</v>
      </c>
    </row>
    <row r="258" ht="18" customHeight="1">
      <c r="B258" s="739"/>
    </row>
    <row r="259" ht="18" customHeight="1">
      <c r="B259" s="737" t="s">
        <v>905</v>
      </c>
    </row>
    <row r="260" ht="18" customHeight="1">
      <c r="B260" s="738" t="s">
        <v>906</v>
      </c>
    </row>
    <row r="261" ht="18" customHeight="1">
      <c r="B261" s="738" t="s">
        <v>907</v>
      </c>
    </row>
    <row r="262" ht="18" customHeight="1">
      <c r="B262" s="739" t="s">
        <v>908</v>
      </c>
    </row>
    <row r="263" ht="18" customHeight="1">
      <c r="B263" s="739"/>
    </row>
    <row r="264" ht="18" customHeight="1">
      <c r="B264" s="737" t="s">
        <v>909</v>
      </c>
    </row>
    <row r="265" ht="18" customHeight="1">
      <c r="B265" s="738" t="s">
        <v>910</v>
      </c>
    </row>
    <row r="266" ht="18" customHeight="1">
      <c r="B266" s="738" t="s">
        <v>911</v>
      </c>
    </row>
    <row r="267" ht="18" customHeight="1">
      <c r="B267" s="738" t="s">
        <v>912</v>
      </c>
    </row>
    <row r="268" ht="18" customHeight="1">
      <c r="B268" s="738" t="s">
        <v>913</v>
      </c>
    </row>
    <row r="269" ht="18" customHeight="1">
      <c r="B269" s="738" t="s">
        <v>914</v>
      </c>
    </row>
    <row r="270" ht="18" customHeight="1">
      <c r="B270" s="738" t="s">
        <v>915</v>
      </c>
    </row>
    <row r="271" ht="18" customHeight="1">
      <c r="B271" s="738" t="s">
        <v>916</v>
      </c>
    </row>
    <row r="272" ht="18" customHeight="1">
      <c r="B272" s="738"/>
    </row>
    <row r="273" ht="18" customHeight="1">
      <c r="B273" s="737" t="s">
        <v>917</v>
      </c>
    </row>
    <row r="274" ht="18" customHeight="1">
      <c r="B274" s="738" t="s">
        <v>918</v>
      </c>
    </row>
    <row r="275" ht="18" customHeight="1">
      <c r="B275" s="738" t="s">
        <v>919</v>
      </c>
    </row>
    <row r="276" ht="18" customHeight="1">
      <c r="B276" s="739" t="s">
        <v>920</v>
      </c>
    </row>
    <row r="277" ht="18" customHeight="1">
      <c r="B277" s="738"/>
    </row>
    <row r="278" ht="18" customHeight="1">
      <c r="B278" s="738" t="s">
        <v>921</v>
      </c>
    </row>
    <row r="279" ht="18" customHeight="1">
      <c r="B279" s="738" t="s">
        <v>922</v>
      </c>
    </row>
    <row r="280" ht="18" customHeight="1">
      <c r="B280" s="738" t="s">
        <v>923</v>
      </c>
    </row>
    <row r="281" ht="18" customHeight="1">
      <c r="B281" s="738" t="s">
        <v>924</v>
      </c>
    </row>
    <row r="282" ht="18" customHeight="1">
      <c r="B282" s="738" t="s">
        <v>925</v>
      </c>
    </row>
    <row r="283" ht="18" customHeight="1">
      <c r="B283" s="738" t="s">
        <v>926</v>
      </c>
    </row>
    <row r="284" ht="18" customHeight="1">
      <c r="B284" s="738"/>
    </row>
    <row r="285" ht="18" customHeight="1">
      <c r="B285" s="737" t="s">
        <v>927</v>
      </c>
    </row>
    <row r="286" ht="18" customHeight="1">
      <c r="B286" s="738" t="s">
        <v>928</v>
      </c>
    </row>
    <row r="287" ht="18" customHeight="1">
      <c r="B287" s="738" t="s">
        <v>929</v>
      </c>
    </row>
    <row r="288" ht="18" customHeight="1">
      <c r="B288" s="738" t="s">
        <v>930</v>
      </c>
    </row>
    <row r="289" ht="18" customHeight="1">
      <c r="B289" s="738" t="s">
        <v>931</v>
      </c>
    </row>
    <row r="290" ht="18" customHeight="1">
      <c r="B290" s="738"/>
    </row>
    <row r="291" ht="18" customHeight="1">
      <c r="B291" s="737" t="s">
        <v>932</v>
      </c>
    </row>
    <row r="292" ht="18" customHeight="1">
      <c r="B292" s="738" t="s">
        <v>933</v>
      </c>
    </row>
    <row r="293" ht="18" customHeight="1">
      <c r="B293" s="739" t="s">
        <v>934</v>
      </c>
    </row>
    <row r="294" ht="18" customHeight="1">
      <c r="B294" s="739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1" r:id="rId1"/>
  <rowBreaks count="3" manualBreakCount="3">
    <brk id="40" max="255" man="1"/>
    <brk id="81" max="11" man="1"/>
    <brk id="125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22">
      <selection activeCell="F7" sqref="F7"/>
    </sheetView>
  </sheetViews>
  <sheetFormatPr defaultColWidth="9.00390625" defaultRowHeight="12.75"/>
  <cols>
    <col min="1" max="1" width="0.12890625" style="793" customWidth="1"/>
    <col min="2" max="2" width="52.25390625" style="580" customWidth="1"/>
    <col min="3" max="3" width="15.00390625" style="769" customWidth="1"/>
    <col min="4" max="4" width="21.125" style="769" customWidth="1"/>
    <col min="5" max="5" width="9.125" style="580" customWidth="1"/>
    <col min="6" max="6" width="19.625" style="580" customWidth="1"/>
    <col min="7" max="7" width="21.375" style="580" customWidth="1"/>
    <col min="8" max="16384" width="9.125" style="580" customWidth="1"/>
  </cols>
  <sheetData>
    <row r="1" spans="1:4" ht="18.75" customHeight="1">
      <c r="A1" s="921" t="s">
        <v>620</v>
      </c>
      <c r="B1" s="921"/>
      <c r="D1" s="821" t="s">
        <v>1099</v>
      </c>
    </row>
    <row r="2" spans="1:4" ht="27" customHeight="1">
      <c r="A2" s="922" t="s">
        <v>621</v>
      </c>
      <c r="B2" s="922"/>
      <c r="C2" s="922"/>
      <c r="D2" s="922"/>
    </row>
    <row r="3" spans="1:4" ht="16.5" customHeight="1">
      <c r="A3" s="582"/>
      <c r="B3" s="770" t="s">
        <v>622</v>
      </c>
      <c r="C3" s="771"/>
      <c r="D3" s="772">
        <f>SUM(D4:D7)</f>
        <v>2584752426.17</v>
      </c>
    </row>
    <row r="4" spans="1:4" ht="12.75" customHeight="1">
      <c r="A4" s="773" t="s">
        <v>576</v>
      </c>
      <c r="B4" s="774" t="s">
        <v>623</v>
      </c>
      <c r="C4" s="573" t="s">
        <v>576</v>
      </c>
      <c r="D4" s="574">
        <v>100000000</v>
      </c>
    </row>
    <row r="5" spans="1:4" ht="12.75" customHeight="1">
      <c r="A5" s="773"/>
      <c r="B5" s="774" t="s">
        <v>624</v>
      </c>
      <c r="C5" s="573"/>
      <c r="D5" s="574">
        <v>827000000</v>
      </c>
    </row>
    <row r="6" spans="1:4" ht="12.75" customHeight="1">
      <c r="A6" s="773"/>
      <c r="B6" s="774" t="s">
        <v>625</v>
      </c>
      <c r="C6" s="573"/>
      <c r="D6" s="574">
        <v>529408000</v>
      </c>
    </row>
    <row r="7" spans="1:7" ht="12.75" customHeight="1">
      <c r="A7" s="773" t="s">
        <v>576</v>
      </c>
      <c r="B7" s="774" t="s">
        <v>626</v>
      </c>
      <c r="C7" s="573" t="s">
        <v>576</v>
      </c>
      <c r="D7" s="575">
        <f>SUM(C8:C24)</f>
        <v>1128344426.17</v>
      </c>
      <c r="G7" s="775"/>
    </row>
    <row r="8" spans="1:4" ht="12.75" customHeight="1">
      <c r="A8" s="773" t="s">
        <v>576</v>
      </c>
      <c r="B8" s="776" t="s">
        <v>627</v>
      </c>
      <c r="C8" s="574">
        <v>13137794</v>
      </c>
      <c r="D8" s="573"/>
    </row>
    <row r="9" spans="1:4" ht="12.75" customHeight="1">
      <c r="A9" s="773" t="s">
        <v>576</v>
      </c>
      <c r="B9" s="776" t="s">
        <v>628</v>
      </c>
      <c r="C9" s="574">
        <v>14638938.51</v>
      </c>
      <c r="D9" s="573"/>
    </row>
    <row r="10" spans="1:4" ht="12.75" customHeight="1">
      <c r="A10" s="773" t="s">
        <v>576</v>
      </c>
      <c r="B10" s="776" t="s">
        <v>629</v>
      </c>
      <c r="C10" s="574">
        <v>25895090.64</v>
      </c>
      <c r="D10" s="573"/>
    </row>
    <row r="11" spans="1:4" ht="12.75" customHeight="1">
      <c r="A11" s="773"/>
      <c r="B11" s="776" t="s">
        <v>630</v>
      </c>
      <c r="C11" s="574">
        <v>9764574.32</v>
      </c>
      <c r="D11" s="573"/>
    </row>
    <row r="12" spans="1:4" ht="12.75" customHeight="1">
      <c r="A12" s="773"/>
      <c r="B12" s="776" t="s">
        <v>631</v>
      </c>
      <c r="C12" s="574">
        <v>47740536.38</v>
      </c>
      <c r="D12" s="573"/>
    </row>
    <row r="13" spans="1:4" ht="12.75" customHeight="1">
      <c r="A13" s="773"/>
      <c r="B13" s="776" t="s">
        <v>632</v>
      </c>
      <c r="C13" s="574">
        <v>61354551.39</v>
      </c>
      <c r="D13" s="573"/>
    </row>
    <row r="14" spans="1:4" ht="12.75" customHeight="1">
      <c r="A14" s="773"/>
      <c r="B14" s="777" t="s">
        <v>633</v>
      </c>
      <c r="C14" s="574">
        <v>243548164</v>
      </c>
      <c r="D14" s="573"/>
    </row>
    <row r="15" spans="1:4" ht="12.75" customHeight="1">
      <c r="A15" s="773"/>
      <c r="B15" s="777" t="s">
        <v>634</v>
      </c>
      <c r="C15" s="574">
        <v>246380281.69</v>
      </c>
      <c r="D15" s="573"/>
    </row>
    <row r="16" spans="1:4" ht="12.75" customHeight="1">
      <c r="A16" s="773"/>
      <c r="B16" s="777" t="s">
        <v>635</v>
      </c>
      <c r="C16" s="574">
        <v>31084032.61</v>
      </c>
      <c r="D16" s="573"/>
    </row>
    <row r="17" spans="1:4" ht="12.75" customHeight="1">
      <c r="A17" s="773"/>
      <c r="B17" s="777" t="s">
        <v>636</v>
      </c>
      <c r="C17" s="574">
        <v>16633358.51</v>
      </c>
      <c r="D17" s="573"/>
    </row>
    <row r="18" spans="1:4" ht="12.75" customHeight="1">
      <c r="A18" s="773"/>
      <c r="B18" s="777" t="s">
        <v>637</v>
      </c>
      <c r="C18" s="574">
        <v>55428439.7</v>
      </c>
      <c r="D18" s="573"/>
    </row>
    <row r="19" spans="1:4" ht="12.75" customHeight="1">
      <c r="A19" s="773"/>
      <c r="B19" s="777" t="s">
        <v>638</v>
      </c>
      <c r="C19" s="574">
        <v>36981471.71</v>
      </c>
      <c r="D19" s="573"/>
    </row>
    <row r="20" spans="1:4" ht="12.75" customHeight="1">
      <c r="A20" s="773"/>
      <c r="B20" s="777" t="s">
        <v>639</v>
      </c>
      <c r="C20" s="574">
        <v>36981471.71</v>
      </c>
      <c r="D20" s="573"/>
    </row>
    <row r="21" spans="1:4" ht="12.75" customHeight="1">
      <c r="A21" s="773"/>
      <c r="B21" s="777" t="s">
        <v>640</v>
      </c>
      <c r="C21" s="574">
        <v>110000000</v>
      </c>
      <c r="D21" s="573"/>
    </row>
    <row r="22" spans="1:4" ht="12.75" customHeight="1">
      <c r="A22" s="773"/>
      <c r="B22" s="777" t="s">
        <v>641</v>
      </c>
      <c r="C22" s="574">
        <v>58604122.85</v>
      </c>
      <c r="D22" s="573"/>
    </row>
    <row r="23" spans="1:4" ht="12.75" customHeight="1">
      <c r="A23" s="773"/>
      <c r="B23" s="777" t="s">
        <v>642</v>
      </c>
      <c r="C23" s="574">
        <v>30171598.15</v>
      </c>
      <c r="D23" s="573"/>
    </row>
    <row r="24" spans="1:4" ht="12.75" customHeight="1">
      <c r="A24" s="773"/>
      <c r="B24" s="777" t="s">
        <v>643</v>
      </c>
      <c r="C24" s="574">
        <v>90000000</v>
      </c>
      <c r="D24" s="573"/>
    </row>
    <row r="25" spans="1:4" ht="16.5" customHeight="1">
      <c r="A25" s="582"/>
      <c r="B25" s="770" t="s">
        <v>644</v>
      </c>
      <c r="C25" s="771"/>
      <c r="D25" s="778">
        <f>SUM(D47+D35+D26)</f>
        <v>95147073.94</v>
      </c>
    </row>
    <row r="26" spans="1:4" ht="12.75" customHeight="1">
      <c r="A26" s="779"/>
      <c r="B26" s="780" t="s">
        <v>645</v>
      </c>
      <c r="C26" s="573"/>
      <c r="D26" s="576">
        <f>SUM(C27:C34)</f>
        <v>80816699.25</v>
      </c>
    </row>
    <row r="27" spans="1:4" ht="12.75" customHeight="1">
      <c r="A27" s="779"/>
      <c r="B27" s="781" t="s">
        <v>646</v>
      </c>
      <c r="C27" s="574">
        <v>206680</v>
      </c>
      <c r="D27" s="577"/>
    </row>
    <row r="28" spans="1:7" ht="12.75" customHeight="1">
      <c r="A28" s="779"/>
      <c r="B28" s="781" t="s">
        <v>647</v>
      </c>
      <c r="C28" s="574">
        <v>132000</v>
      </c>
      <c r="D28" s="577"/>
      <c r="F28" s="781"/>
      <c r="G28" s="574"/>
    </row>
    <row r="29" spans="1:4" ht="12.75" customHeight="1">
      <c r="A29" s="779"/>
      <c r="B29" s="781" t="s">
        <v>648</v>
      </c>
      <c r="C29" s="574">
        <v>3613965.78</v>
      </c>
      <c r="D29" s="577"/>
    </row>
    <row r="30" spans="1:4" ht="12.75" customHeight="1">
      <c r="A30" s="779"/>
      <c r="B30" s="781" t="s">
        <v>649</v>
      </c>
      <c r="C30" s="574">
        <v>1510588.15</v>
      </c>
      <c r="D30" s="577"/>
    </row>
    <row r="31" spans="1:4" ht="12.75" customHeight="1">
      <c r="A31" s="779"/>
      <c r="B31" s="781" t="s">
        <v>650</v>
      </c>
      <c r="C31" s="574">
        <v>32808291.41</v>
      </c>
      <c r="D31" s="577"/>
    </row>
    <row r="32" spans="1:4" ht="12.75" customHeight="1">
      <c r="A32" s="779"/>
      <c r="B32" s="781" t="s">
        <v>651</v>
      </c>
      <c r="C32" s="574">
        <v>3387928.07</v>
      </c>
      <c r="D32" s="577"/>
    </row>
    <row r="33" spans="1:4" ht="12.75" customHeight="1">
      <c r="A33" s="779"/>
      <c r="B33" s="781" t="s">
        <v>652</v>
      </c>
      <c r="C33" s="574">
        <v>39137910.94</v>
      </c>
      <c r="D33" s="577"/>
    </row>
    <row r="34" spans="1:4" ht="12.75" customHeight="1">
      <c r="A34" s="779"/>
      <c r="B34" s="781" t="s">
        <v>653</v>
      </c>
      <c r="C34" s="574">
        <v>19334.9</v>
      </c>
      <c r="D34" s="577"/>
    </row>
    <row r="35" spans="1:4" ht="12.75" customHeight="1">
      <c r="A35" s="779"/>
      <c r="B35" s="780" t="s">
        <v>654</v>
      </c>
      <c r="C35" s="574"/>
      <c r="D35" s="576">
        <f>SUM(C36:C46)</f>
        <v>14330374.69</v>
      </c>
    </row>
    <row r="36" spans="1:4" ht="12.75" customHeight="1">
      <c r="A36" s="779"/>
      <c r="B36" s="781" t="s">
        <v>655</v>
      </c>
      <c r="C36" s="574">
        <v>556486.25</v>
      </c>
      <c r="D36" s="578"/>
    </row>
    <row r="37" spans="1:4" ht="12.75" customHeight="1">
      <c r="A37" s="779"/>
      <c r="B37" s="781" t="s">
        <v>656</v>
      </c>
      <c r="C37" s="574">
        <v>1356803</v>
      </c>
      <c r="D37" s="578"/>
    </row>
    <row r="38" spans="1:4" ht="12.75" customHeight="1">
      <c r="A38" s="779"/>
      <c r="B38" s="781" t="s">
        <v>657</v>
      </c>
      <c r="C38" s="574">
        <v>6570</v>
      </c>
      <c r="D38" s="578"/>
    </row>
    <row r="39" spans="1:4" ht="12.75" customHeight="1">
      <c r="A39" s="779"/>
      <c r="B39" s="781" t="s">
        <v>658</v>
      </c>
      <c r="C39" s="574">
        <v>61274</v>
      </c>
      <c r="D39" s="578"/>
    </row>
    <row r="40" spans="1:4" ht="12.75" customHeight="1">
      <c r="A40" s="779"/>
      <c r="B40" s="781" t="s">
        <v>659</v>
      </c>
      <c r="C40" s="574">
        <v>470489.44</v>
      </c>
      <c r="D40" s="578"/>
    </row>
    <row r="41" spans="1:4" ht="12.75" customHeight="1">
      <c r="A41" s="779"/>
      <c r="B41" s="781" t="s">
        <v>660</v>
      </c>
      <c r="C41" s="574">
        <v>6073784</v>
      </c>
      <c r="D41" s="579"/>
    </row>
    <row r="42" spans="1:4" ht="12.75" customHeight="1">
      <c r="A42" s="779"/>
      <c r="B42" s="781" t="s">
        <v>661</v>
      </c>
      <c r="C42" s="574">
        <v>5608271</v>
      </c>
      <c r="D42" s="579"/>
    </row>
    <row r="43" spans="1:4" ht="12.75" customHeight="1">
      <c r="A43" s="779"/>
      <c r="B43" s="781" t="s">
        <v>662</v>
      </c>
      <c r="C43" s="574">
        <v>112063</v>
      </c>
      <c r="D43" s="579"/>
    </row>
    <row r="44" spans="1:4" ht="12.75" customHeight="1">
      <c r="A44" s="779"/>
      <c r="B44" s="781" t="s">
        <v>663</v>
      </c>
      <c r="C44" s="574">
        <v>60016</v>
      </c>
      <c r="D44" s="579"/>
    </row>
    <row r="45" spans="1:4" ht="12.75" customHeight="1">
      <c r="A45" s="779"/>
      <c r="B45" s="781" t="s">
        <v>664</v>
      </c>
      <c r="C45" s="574">
        <v>22154</v>
      </c>
      <c r="D45" s="579"/>
    </row>
    <row r="46" spans="1:4" ht="12.75" customHeight="1">
      <c r="A46" s="779"/>
      <c r="B46" s="781" t="s">
        <v>665</v>
      </c>
      <c r="C46" s="574">
        <v>2464</v>
      </c>
      <c r="D46" s="579"/>
    </row>
    <row r="47" spans="1:4" ht="12.75" customHeight="1">
      <c r="A47" s="779"/>
      <c r="B47" s="780" t="s">
        <v>666</v>
      </c>
      <c r="C47" s="574"/>
      <c r="D47" s="576">
        <v>0</v>
      </c>
    </row>
    <row r="48" spans="1:4" ht="16.5" customHeight="1">
      <c r="A48" s="779"/>
      <c r="B48" s="782" t="s">
        <v>667</v>
      </c>
      <c r="C48" s="574"/>
      <c r="D48" s="772">
        <f>SUM(C49:C52)</f>
        <v>-15596675.48</v>
      </c>
    </row>
    <row r="49" spans="1:4" ht="12.75" customHeight="1">
      <c r="A49" s="779"/>
      <c r="B49" s="781" t="s">
        <v>668</v>
      </c>
      <c r="C49" s="574">
        <v>122429.5</v>
      </c>
      <c r="D49" s="579"/>
    </row>
    <row r="50" spans="1:4" ht="12.75" customHeight="1">
      <c r="A50" s="779"/>
      <c r="B50" s="781" t="s">
        <v>669</v>
      </c>
      <c r="C50" s="574">
        <v>66812.4</v>
      </c>
      <c r="D50" s="579"/>
    </row>
    <row r="51" spans="1:4" ht="12.75" customHeight="1">
      <c r="A51" s="779"/>
      <c r="B51" s="781" t="s">
        <v>670</v>
      </c>
      <c r="C51" s="574">
        <v>-14877989.08</v>
      </c>
      <c r="D51" s="579"/>
    </row>
    <row r="52" spans="1:4" ht="12.75" customHeight="1">
      <c r="A52" s="779"/>
      <c r="B52" s="781" t="s">
        <v>671</v>
      </c>
      <c r="C52" s="574">
        <v>-907928.3</v>
      </c>
      <c r="D52" s="579"/>
    </row>
    <row r="53" spans="1:4" ht="16.5" customHeight="1">
      <c r="A53" s="779"/>
      <c r="B53" s="782" t="s">
        <v>672</v>
      </c>
      <c r="C53" s="574"/>
      <c r="D53" s="772">
        <f>SUM(C54:C57)</f>
        <v>7596578</v>
      </c>
    </row>
    <row r="54" spans="1:4" ht="12.75" customHeight="1">
      <c r="A54" s="779"/>
      <c r="B54" s="781" t="s">
        <v>673</v>
      </c>
      <c r="C54" s="574">
        <v>4945286</v>
      </c>
      <c r="D54" s="581"/>
    </row>
    <row r="55" spans="1:4" ht="12.75" customHeight="1">
      <c r="A55" s="779"/>
      <c r="B55" s="781" t="s">
        <v>674</v>
      </c>
      <c r="C55" s="574">
        <v>0</v>
      </c>
      <c r="D55" s="581"/>
    </row>
    <row r="56" spans="1:4" ht="12.75" customHeight="1">
      <c r="A56" s="773"/>
      <c r="B56" s="781" t="s">
        <v>675</v>
      </c>
      <c r="C56" s="574">
        <v>2538488</v>
      </c>
      <c r="D56" s="574"/>
    </row>
    <row r="57" spans="1:4" ht="12.75" customHeight="1">
      <c r="A57" s="773"/>
      <c r="B57" s="781" t="s">
        <v>676</v>
      </c>
      <c r="C57" s="574">
        <v>112804</v>
      </c>
      <c r="D57" s="574"/>
    </row>
    <row r="58" spans="1:4" ht="12.75" customHeight="1" thickBot="1">
      <c r="A58" s="773"/>
      <c r="B58" s="781"/>
      <c r="C58" s="574"/>
      <c r="D58" s="783"/>
    </row>
    <row r="59" spans="1:4" s="788" customFormat="1" ht="20.25" customHeight="1" thickBot="1">
      <c r="A59" s="784"/>
      <c r="B59" s="785" t="s">
        <v>617</v>
      </c>
      <c r="C59" s="786"/>
      <c r="D59" s="787">
        <f>SUM(D53+D48+D25+D3)</f>
        <v>2671899402.63</v>
      </c>
    </row>
    <row r="60" spans="1:4" ht="17.25" customHeight="1" thickBot="1">
      <c r="A60" s="582"/>
      <c r="B60" s="583" t="s">
        <v>677</v>
      </c>
      <c r="C60" s="584"/>
      <c r="D60" s="585">
        <v>358699647</v>
      </c>
    </row>
    <row r="61" spans="1:4" ht="21.75" customHeight="1" thickBot="1">
      <c r="A61" s="789"/>
      <c r="B61" s="790" t="s">
        <v>678</v>
      </c>
      <c r="C61" s="791"/>
      <c r="D61" s="792">
        <f>SUM(D59:D60)</f>
        <v>3030599049.63</v>
      </c>
    </row>
    <row r="66" ht="12.75">
      <c r="A66" s="580"/>
    </row>
    <row r="67" ht="12.75">
      <c r="A67" s="580"/>
    </row>
  </sheetData>
  <mergeCells count="2">
    <mergeCell ref="A1:B1"/>
    <mergeCell ref="A2:D2"/>
  </mergeCells>
  <printOptions/>
  <pageMargins left="0.7874015748031497" right="0.7874015748031497" top="0" bottom="0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7"/>
  <sheetViews>
    <sheetView workbookViewId="0" topLeftCell="A22">
      <selection activeCell="D2" sqref="D2"/>
    </sheetView>
  </sheetViews>
  <sheetFormatPr defaultColWidth="9.00390625" defaultRowHeight="12.75"/>
  <cols>
    <col min="1" max="1" width="3.125" style="35" customWidth="1"/>
    <col min="2" max="2" width="32.875" style="35" customWidth="1"/>
    <col min="3" max="3" width="43.375" style="35" customWidth="1"/>
    <col min="4" max="4" width="16.625" style="813" customWidth="1"/>
    <col min="5" max="16384" width="9.125" style="35" customWidth="1"/>
  </cols>
  <sheetData>
    <row r="2" ht="15">
      <c r="D2" s="823" t="s">
        <v>1102</v>
      </c>
    </row>
    <row r="3" spans="2:4" ht="18">
      <c r="B3" s="923" t="s">
        <v>943</v>
      </c>
      <c r="C3" s="923"/>
      <c r="D3" s="923"/>
    </row>
    <row r="4" spans="2:4" ht="16.5" thickBot="1">
      <c r="B4" s="816"/>
      <c r="C4" s="816"/>
      <c r="D4" s="816"/>
    </row>
    <row r="5" spans="2:4" ht="16.5" thickBot="1">
      <c r="B5" s="827" t="s">
        <v>944</v>
      </c>
      <c r="C5" s="828" t="s">
        <v>945</v>
      </c>
      <c r="D5" s="829" t="s">
        <v>946</v>
      </c>
    </row>
    <row r="6" spans="2:4" ht="14.25">
      <c r="B6" s="824" t="s">
        <v>1093</v>
      </c>
      <c r="C6" s="825" t="s">
        <v>947</v>
      </c>
      <c r="D6" s="826">
        <v>390000</v>
      </c>
    </row>
    <row r="7" spans="2:4" ht="14.25">
      <c r="B7" s="794" t="s">
        <v>948</v>
      </c>
      <c r="C7" s="795" t="s">
        <v>949</v>
      </c>
      <c r="D7" s="796">
        <v>10000</v>
      </c>
    </row>
    <row r="8" spans="2:4" ht="14.25">
      <c r="B8" s="794" t="s">
        <v>950</v>
      </c>
      <c r="C8" s="795" t="s">
        <v>951</v>
      </c>
      <c r="D8" s="796">
        <v>805000</v>
      </c>
    </row>
    <row r="9" spans="2:4" ht="14.25">
      <c r="B9" s="794" t="s">
        <v>952</v>
      </c>
      <c r="C9" s="795" t="s">
        <v>953</v>
      </c>
      <c r="D9" s="796">
        <v>1200000</v>
      </c>
    </row>
    <row r="10" spans="2:4" ht="14.25">
      <c r="B10" s="794" t="s">
        <v>954</v>
      </c>
      <c r="C10" s="795" t="s">
        <v>955</v>
      </c>
      <c r="D10" s="796">
        <v>15000</v>
      </c>
    </row>
    <row r="11" spans="2:4" ht="14.25">
      <c r="B11" s="794" t="s">
        <v>956</v>
      </c>
      <c r="C11" s="795" t="s">
        <v>951</v>
      </c>
      <c r="D11" s="796">
        <v>30000</v>
      </c>
    </row>
    <row r="12" spans="2:4" ht="14.25">
      <c r="B12" s="794" t="s">
        <v>957</v>
      </c>
      <c r="C12" s="795" t="s">
        <v>958</v>
      </c>
      <c r="D12" s="796">
        <v>5000</v>
      </c>
    </row>
    <row r="13" spans="2:4" ht="14.25">
      <c r="B13" s="794" t="s">
        <v>959</v>
      </c>
      <c r="C13" s="795" t="s">
        <v>951</v>
      </c>
      <c r="D13" s="796">
        <v>150000</v>
      </c>
    </row>
    <row r="14" spans="2:4" ht="14.25">
      <c r="B14" s="794" t="s">
        <v>960</v>
      </c>
      <c r="C14" s="795" t="s">
        <v>961</v>
      </c>
      <c r="D14" s="796">
        <v>100000</v>
      </c>
    </row>
    <row r="15" spans="2:4" ht="14.25">
      <c r="B15" s="797" t="s">
        <v>962</v>
      </c>
      <c r="C15" s="798" t="s">
        <v>963</v>
      </c>
      <c r="D15" s="796">
        <v>300000</v>
      </c>
    </row>
    <row r="16" spans="2:4" ht="14.25">
      <c r="B16" s="797" t="s">
        <v>964</v>
      </c>
      <c r="C16" s="799" t="s">
        <v>965</v>
      </c>
      <c r="D16" s="796">
        <v>15000</v>
      </c>
    </row>
    <row r="17" spans="2:4" ht="14.25">
      <c r="B17" s="797" t="s">
        <v>966</v>
      </c>
      <c r="C17" s="798" t="s">
        <v>1084</v>
      </c>
      <c r="D17" s="800">
        <v>200000</v>
      </c>
    </row>
    <row r="18" spans="2:4" ht="14.25">
      <c r="B18" s="797" t="s">
        <v>967</v>
      </c>
      <c r="C18" s="798" t="s">
        <v>951</v>
      </c>
      <c r="D18" s="796">
        <v>200000</v>
      </c>
    </row>
    <row r="19" spans="2:4" ht="14.25">
      <c r="B19" s="797" t="s">
        <v>1094</v>
      </c>
      <c r="C19" s="798" t="s">
        <v>968</v>
      </c>
      <c r="D19" s="796">
        <v>71722</v>
      </c>
    </row>
    <row r="20" spans="2:4" ht="14.25">
      <c r="B20" s="797" t="s">
        <v>969</v>
      </c>
      <c r="C20" s="798" t="s">
        <v>970</v>
      </c>
      <c r="D20" s="800">
        <v>17383</v>
      </c>
    </row>
    <row r="21" spans="2:4" ht="14.25">
      <c r="B21" s="797" t="s">
        <v>971</v>
      </c>
      <c r="C21" s="798" t="s">
        <v>1085</v>
      </c>
      <c r="D21" s="800">
        <v>4000</v>
      </c>
    </row>
    <row r="22" spans="2:4" ht="14.25">
      <c r="B22" s="797" t="s">
        <v>972</v>
      </c>
      <c r="C22" s="798" t="s">
        <v>1086</v>
      </c>
      <c r="D22" s="800">
        <v>10000</v>
      </c>
    </row>
    <row r="23" spans="2:4" ht="14.25">
      <c r="B23" s="797" t="s">
        <v>973</v>
      </c>
      <c r="C23" s="798" t="s">
        <v>974</v>
      </c>
      <c r="D23" s="800">
        <v>5000</v>
      </c>
    </row>
    <row r="24" spans="2:4" ht="14.25">
      <c r="B24" s="797" t="s">
        <v>975</v>
      </c>
      <c r="C24" s="798" t="s">
        <v>976</v>
      </c>
      <c r="D24" s="800">
        <v>10000</v>
      </c>
    </row>
    <row r="25" spans="2:4" ht="14.25">
      <c r="B25" s="797" t="s">
        <v>977</v>
      </c>
      <c r="C25" s="798" t="s">
        <v>976</v>
      </c>
      <c r="D25" s="800">
        <v>20000</v>
      </c>
    </row>
    <row r="26" spans="2:4" ht="14.25">
      <c r="B26" s="797" t="s">
        <v>978</v>
      </c>
      <c r="C26" s="798" t="s">
        <v>1087</v>
      </c>
      <c r="D26" s="800">
        <v>3000</v>
      </c>
    </row>
    <row r="27" spans="2:4" ht="14.25">
      <c r="B27" s="797" t="s">
        <v>979</v>
      </c>
      <c r="C27" s="798" t="s">
        <v>980</v>
      </c>
      <c r="D27" s="800">
        <v>15000</v>
      </c>
    </row>
    <row r="28" spans="2:4" ht="14.25">
      <c r="B28" s="797" t="s">
        <v>981</v>
      </c>
      <c r="C28" s="798" t="s">
        <v>1092</v>
      </c>
      <c r="D28" s="800">
        <v>10000</v>
      </c>
    </row>
    <row r="29" spans="2:4" ht="14.25">
      <c r="B29" s="797" t="s">
        <v>96</v>
      </c>
      <c r="C29" s="798" t="s">
        <v>1091</v>
      </c>
      <c r="D29" s="800">
        <v>150000</v>
      </c>
    </row>
    <row r="30" spans="2:4" ht="14.25">
      <c r="B30" s="797" t="s">
        <v>982</v>
      </c>
      <c r="C30" s="798" t="s">
        <v>983</v>
      </c>
      <c r="D30" s="800">
        <v>6000</v>
      </c>
    </row>
    <row r="31" spans="2:4" ht="14.25">
      <c r="B31" s="797" t="s">
        <v>984</v>
      </c>
      <c r="C31" s="798" t="s">
        <v>985</v>
      </c>
      <c r="D31" s="800">
        <v>20000</v>
      </c>
    </row>
    <row r="32" spans="2:4" ht="14.25">
      <c r="B32" s="797" t="s">
        <v>986</v>
      </c>
      <c r="C32" s="798" t="s">
        <v>987</v>
      </c>
      <c r="D32" s="796">
        <v>70000</v>
      </c>
    </row>
    <row r="33" spans="2:4" ht="14.25">
      <c r="B33" s="797" t="s">
        <v>988</v>
      </c>
      <c r="C33" s="798" t="s">
        <v>989</v>
      </c>
      <c r="D33" s="796">
        <v>15000</v>
      </c>
    </row>
    <row r="34" spans="2:4" ht="14.25">
      <c r="B34" s="797" t="s">
        <v>990</v>
      </c>
      <c r="C34" s="798" t="s">
        <v>991</v>
      </c>
      <c r="D34" s="796">
        <v>35000</v>
      </c>
    </row>
    <row r="35" spans="2:4" ht="14.25">
      <c r="B35" s="797" t="s">
        <v>992</v>
      </c>
      <c r="C35" s="798" t="s">
        <v>993</v>
      </c>
      <c r="D35" s="796">
        <v>100000</v>
      </c>
    </row>
    <row r="36" spans="2:4" ht="14.25">
      <c r="B36" s="797" t="s">
        <v>994</v>
      </c>
      <c r="C36" s="798" t="s">
        <v>995</v>
      </c>
      <c r="D36" s="796">
        <v>50000</v>
      </c>
    </row>
    <row r="37" spans="2:4" ht="14.25">
      <c r="B37" s="797" t="s">
        <v>96</v>
      </c>
      <c r="C37" s="798" t="s">
        <v>996</v>
      </c>
      <c r="D37" s="796">
        <v>150000</v>
      </c>
    </row>
    <row r="38" spans="2:4" ht="15">
      <c r="B38" s="797" t="s">
        <v>997</v>
      </c>
      <c r="C38" s="798" t="s">
        <v>998</v>
      </c>
      <c r="D38" s="796">
        <v>48000</v>
      </c>
    </row>
    <row r="39" spans="2:4" ht="14.25">
      <c r="B39" s="797" t="s">
        <v>999</v>
      </c>
      <c r="C39" s="798" t="s">
        <v>1000</v>
      </c>
      <c r="D39" s="796">
        <v>65760</v>
      </c>
    </row>
    <row r="40" spans="2:4" ht="14.25">
      <c r="B40" s="797" t="s">
        <v>1001</v>
      </c>
      <c r="C40" s="798" t="s">
        <v>1002</v>
      </c>
      <c r="D40" s="796">
        <v>50000</v>
      </c>
    </row>
    <row r="41" spans="2:4" ht="14.25">
      <c r="B41" s="797" t="s">
        <v>1003</v>
      </c>
      <c r="C41" s="798" t="s">
        <v>1004</v>
      </c>
      <c r="D41" s="796">
        <v>20000</v>
      </c>
    </row>
    <row r="42" spans="2:4" ht="14.25">
      <c r="B42" s="797" t="s">
        <v>1005</v>
      </c>
      <c r="C42" s="798" t="s">
        <v>1006</v>
      </c>
      <c r="D42" s="796">
        <v>50000</v>
      </c>
    </row>
    <row r="43" spans="2:4" ht="14.25">
      <c r="B43" s="797" t="s">
        <v>1007</v>
      </c>
      <c r="C43" s="798" t="s">
        <v>1008</v>
      </c>
      <c r="D43" s="796">
        <v>10000</v>
      </c>
    </row>
    <row r="44" spans="2:4" ht="14.25">
      <c r="B44" s="797" t="s">
        <v>1009</v>
      </c>
      <c r="C44" s="798" t="s">
        <v>1010</v>
      </c>
      <c r="D44" s="796">
        <v>25000</v>
      </c>
    </row>
    <row r="45" spans="2:4" ht="14.25">
      <c r="B45" s="797" t="s">
        <v>1011</v>
      </c>
      <c r="C45" s="798" t="s">
        <v>1012</v>
      </c>
      <c r="D45" s="796">
        <v>5000</v>
      </c>
    </row>
    <row r="46" spans="2:4" ht="14.25">
      <c r="B46" s="797" t="s">
        <v>1013</v>
      </c>
      <c r="C46" s="798" t="s">
        <v>1014</v>
      </c>
      <c r="D46" s="796">
        <v>10000</v>
      </c>
    </row>
    <row r="47" spans="2:4" ht="14.25">
      <c r="B47" s="797" t="s">
        <v>96</v>
      </c>
      <c r="C47" s="798" t="s">
        <v>1015</v>
      </c>
      <c r="D47" s="796">
        <v>150000</v>
      </c>
    </row>
    <row r="48" spans="2:4" ht="14.25">
      <c r="B48" s="797" t="s">
        <v>1016</v>
      </c>
      <c r="C48" s="798" t="s">
        <v>1017</v>
      </c>
      <c r="D48" s="796">
        <v>1500</v>
      </c>
    </row>
    <row r="49" spans="2:4" ht="14.25">
      <c r="B49" s="797" t="s">
        <v>1018</v>
      </c>
      <c r="C49" s="798" t="s">
        <v>1019</v>
      </c>
      <c r="D49" s="796">
        <v>10000</v>
      </c>
    </row>
    <row r="50" spans="2:4" ht="14.25">
      <c r="B50" s="797" t="s">
        <v>1020</v>
      </c>
      <c r="C50" s="798" t="s">
        <v>1021</v>
      </c>
      <c r="D50" s="796">
        <v>10000</v>
      </c>
    </row>
    <row r="51" spans="2:4" ht="14.25">
      <c r="B51" s="797" t="s">
        <v>1022</v>
      </c>
      <c r="C51" s="798" t="s">
        <v>1090</v>
      </c>
      <c r="D51" s="796">
        <v>25000</v>
      </c>
    </row>
    <row r="52" spans="2:4" ht="14.25">
      <c r="B52" s="797" t="s">
        <v>1023</v>
      </c>
      <c r="C52" s="798" t="s">
        <v>1089</v>
      </c>
      <c r="D52" s="796">
        <v>30000</v>
      </c>
    </row>
    <row r="53" spans="2:4" ht="14.25">
      <c r="B53" s="797" t="s">
        <v>982</v>
      </c>
      <c r="C53" s="798" t="s">
        <v>1024</v>
      </c>
      <c r="D53" s="796">
        <v>20000</v>
      </c>
    </row>
    <row r="54" spans="2:4" ht="14.25">
      <c r="B54" s="797" t="s">
        <v>954</v>
      </c>
      <c r="C54" s="798" t="s">
        <v>951</v>
      </c>
      <c r="D54" s="796">
        <v>50000</v>
      </c>
    </row>
    <row r="55" spans="2:4" ht="14.25">
      <c r="B55" s="797" t="s">
        <v>1025</v>
      </c>
      <c r="C55" s="798" t="s">
        <v>1026</v>
      </c>
      <c r="D55" s="796">
        <v>15000</v>
      </c>
    </row>
    <row r="56" spans="2:4" ht="14.25">
      <c r="B56" s="797" t="s">
        <v>1027</v>
      </c>
      <c r="C56" s="798" t="s">
        <v>1028</v>
      </c>
      <c r="D56" s="796">
        <v>30000</v>
      </c>
    </row>
    <row r="57" spans="2:4" ht="14.25">
      <c r="B57" s="797" t="s">
        <v>1029</v>
      </c>
      <c r="C57" s="798" t="s">
        <v>1030</v>
      </c>
      <c r="D57" s="796">
        <v>5000</v>
      </c>
    </row>
    <row r="58" spans="2:4" ht="14.25">
      <c r="B58" s="797" t="s">
        <v>1031</v>
      </c>
      <c r="C58" s="798" t="s">
        <v>1030</v>
      </c>
      <c r="D58" s="796">
        <v>5000</v>
      </c>
    </row>
    <row r="59" spans="2:4" ht="15">
      <c r="B59" s="797" t="s">
        <v>1032</v>
      </c>
      <c r="C59" s="798" t="s">
        <v>1033</v>
      </c>
      <c r="D59" s="796">
        <v>5000</v>
      </c>
    </row>
    <row r="60" spans="2:4" ht="14.25">
      <c r="B60" s="797" t="s">
        <v>1034</v>
      </c>
      <c r="C60" s="798" t="s">
        <v>951</v>
      </c>
      <c r="D60" s="796">
        <v>10000</v>
      </c>
    </row>
    <row r="61" spans="2:4" ht="14.25">
      <c r="B61" s="797" t="s">
        <v>1035</v>
      </c>
      <c r="C61" s="798" t="s">
        <v>1036</v>
      </c>
      <c r="D61" s="796">
        <v>25000</v>
      </c>
    </row>
    <row r="62" spans="2:4" ht="14.25">
      <c r="B62" s="797" t="s">
        <v>1037</v>
      </c>
      <c r="C62" s="798" t="s">
        <v>1038</v>
      </c>
      <c r="D62" s="796">
        <v>10000</v>
      </c>
    </row>
    <row r="63" spans="2:4" ht="14.25">
      <c r="B63" s="797" t="s">
        <v>1039</v>
      </c>
      <c r="C63" s="798" t="s">
        <v>1040</v>
      </c>
      <c r="D63" s="796">
        <v>25000</v>
      </c>
    </row>
    <row r="64" spans="2:4" ht="14.25">
      <c r="B64" s="797" t="s">
        <v>1041</v>
      </c>
      <c r="C64" s="798" t="s">
        <v>951</v>
      </c>
      <c r="D64" s="796">
        <v>50000</v>
      </c>
    </row>
    <row r="65" spans="2:4" ht="14.25">
      <c r="B65" s="794" t="s">
        <v>1042</v>
      </c>
      <c r="C65" s="795" t="s">
        <v>1088</v>
      </c>
      <c r="D65" s="796">
        <v>20000</v>
      </c>
    </row>
    <row r="66" spans="2:4" ht="14.25">
      <c r="B66" s="794" t="s">
        <v>1043</v>
      </c>
      <c r="C66" s="795" t="s">
        <v>951</v>
      </c>
      <c r="D66" s="796">
        <v>25000</v>
      </c>
    </row>
    <row r="67" spans="2:4" ht="14.25">
      <c r="B67" s="794" t="s">
        <v>1044</v>
      </c>
      <c r="C67" s="795" t="s">
        <v>1045</v>
      </c>
      <c r="D67" s="796">
        <v>10000</v>
      </c>
    </row>
    <row r="68" spans="2:4" ht="14.25">
      <c r="B68" s="794" t="s">
        <v>1046</v>
      </c>
      <c r="C68" s="795" t="s">
        <v>1045</v>
      </c>
      <c r="D68" s="796">
        <v>10000</v>
      </c>
    </row>
    <row r="69" spans="2:4" ht="14.25">
      <c r="B69" s="794" t="s">
        <v>1047</v>
      </c>
      <c r="C69" s="795" t="s">
        <v>1045</v>
      </c>
      <c r="D69" s="796">
        <v>10000</v>
      </c>
    </row>
    <row r="70" spans="2:4" ht="14.25">
      <c r="B70" s="794" t="s">
        <v>1048</v>
      </c>
      <c r="C70" s="795" t="s">
        <v>1045</v>
      </c>
      <c r="D70" s="796">
        <v>10000</v>
      </c>
    </row>
    <row r="71" spans="2:4" ht="14.25">
      <c r="B71" s="794" t="s">
        <v>1049</v>
      </c>
      <c r="C71" s="795" t="s">
        <v>1045</v>
      </c>
      <c r="D71" s="796">
        <v>10000</v>
      </c>
    </row>
    <row r="72" spans="2:4" ht="14.25">
      <c r="B72" s="801" t="s">
        <v>1050</v>
      </c>
      <c r="C72" s="802" t="s">
        <v>1051</v>
      </c>
      <c r="D72" s="803">
        <v>12932</v>
      </c>
    </row>
    <row r="73" spans="1:9" s="804" customFormat="1" ht="14.25">
      <c r="A73" s="35"/>
      <c r="B73" s="794" t="s">
        <v>1052</v>
      </c>
      <c r="C73" s="795" t="s">
        <v>951</v>
      </c>
      <c r="D73" s="796">
        <v>15000</v>
      </c>
      <c r="E73" s="35"/>
      <c r="F73" s="35"/>
      <c r="G73" s="35"/>
      <c r="H73" s="35"/>
      <c r="I73" s="35"/>
    </row>
    <row r="74" spans="2:4" ht="14.25">
      <c r="B74" s="805" t="s">
        <v>1103</v>
      </c>
      <c r="C74" s="806" t="s">
        <v>1053</v>
      </c>
      <c r="D74" s="807">
        <v>10000</v>
      </c>
    </row>
    <row r="75" spans="2:4" ht="14.25">
      <c r="B75" s="794" t="s">
        <v>1054</v>
      </c>
      <c r="C75" s="795" t="s">
        <v>1055</v>
      </c>
      <c r="D75" s="796">
        <v>20000</v>
      </c>
    </row>
    <row r="76" spans="2:4" ht="14.25">
      <c r="B76" s="794" t="s">
        <v>1056</v>
      </c>
      <c r="C76" s="795" t="s">
        <v>1057</v>
      </c>
      <c r="D76" s="796">
        <v>6485</v>
      </c>
    </row>
    <row r="77" spans="2:4" ht="14.25">
      <c r="B77" s="801" t="s">
        <v>1058</v>
      </c>
      <c r="C77" s="802" t="s">
        <v>1059</v>
      </c>
      <c r="D77" s="803">
        <v>100000</v>
      </c>
    </row>
    <row r="78" spans="2:4" ht="14.25">
      <c r="B78" s="797" t="s">
        <v>1060</v>
      </c>
      <c r="C78" s="798" t="s">
        <v>1061</v>
      </c>
      <c r="D78" s="796">
        <v>20000</v>
      </c>
    </row>
    <row r="79" spans="2:4" ht="14.25">
      <c r="B79" s="797" t="s">
        <v>1062</v>
      </c>
      <c r="C79" s="798" t="s">
        <v>951</v>
      </c>
      <c r="D79" s="796">
        <v>10000</v>
      </c>
    </row>
    <row r="80" spans="2:4" ht="14.25">
      <c r="B80" s="797" t="s">
        <v>1063</v>
      </c>
      <c r="C80" s="798" t="s">
        <v>1064</v>
      </c>
      <c r="D80" s="796">
        <v>100000</v>
      </c>
    </row>
    <row r="81" spans="2:4" ht="14.25">
      <c r="B81" s="794" t="s">
        <v>1065</v>
      </c>
      <c r="C81" s="795" t="s">
        <v>1066</v>
      </c>
      <c r="D81" s="796">
        <v>10000</v>
      </c>
    </row>
    <row r="82" spans="2:4" ht="14.25">
      <c r="B82" s="794" t="s">
        <v>1067</v>
      </c>
      <c r="C82" s="795" t="s">
        <v>1066</v>
      </c>
      <c r="D82" s="796">
        <v>10000</v>
      </c>
    </row>
    <row r="83" spans="2:4" ht="14.25">
      <c r="B83" s="794" t="s">
        <v>1068</v>
      </c>
      <c r="C83" s="795" t="s">
        <v>1066</v>
      </c>
      <c r="D83" s="796">
        <v>10000</v>
      </c>
    </row>
    <row r="84" spans="2:4" ht="14.25">
      <c r="B84" s="794" t="s">
        <v>1069</v>
      </c>
      <c r="C84" s="795" t="s">
        <v>1070</v>
      </c>
      <c r="D84" s="796">
        <v>15000</v>
      </c>
    </row>
    <row r="85" spans="2:4" ht="14.25">
      <c r="B85" s="794" t="s">
        <v>1071</v>
      </c>
      <c r="C85" s="795" t="s">
        <v>951</v>
      </c>
      <c r="D85" s="796">
        <v>20000</v>
      </c>
    </row>
    <row r="86" spans="2:4" ht="14.25">
      <c r="B86" s="794" t="s">
        <v>1072</v>
      </c>
      <c r="C86" s="795" t="s">
        <v>951</v>
      </c>
      <c r="D86" s="796">
        <v>50000</v>
      </c>
    </row>
    <row r="87" spans="2:4" ht="14.25">
      <c r="B87" s="794" t="s">
        <v>1073</v>
      </c>
      <c r="C87" s="795" t="s">
        <v>1074</v>
      </c>
      <c r="D87" s="796">
        <v>50000</v>
      </c>
    </row>
    <row r="88" spans="2:4" ht="14.25">
      <c r="B88" s="801" t="s">
        <v>1075</v>
      </c>
      <c r="C88" s="802" t="s">
        <v>1076</v>
      </c>
      <c r="D88" s="803">
        <v>10000</v>
      </c>
    </row>
    <row r="89" spans="1:9" s="804" customFormat="1" ht="14.25">
      <c r="A89" s="35"/>
      <c r="B89" s="794" t="s">
        <v>1077</v>
      </c>
      <c r="C89" s="795" t="s">
        <v>951</v>
      </c>
      <c r="D89" s="796">
        <v>6000</v>
      </c>
      <c r="E89" s="35"/>
      <c r="F89" s="35"/>
      <c r="G89" s="35"/>
      <c r="H89" s="35"/>
      <c r="I89" s="35"/>
    </row>
    <row r="90" spans="2:4" ht="14.25">
      <c r="B90" s="805" t="s">
        <v>1078</v>
      </c>
      <c r="C90" s="806" t="s">
        <v>1079</v>
      </c>
      <c r="D90" s="807">
        <v>4000</v>
      </c>
    </row>
    <row r="91" spans="2:4" ht="14.25">
      <c r="B91" s="801" t="s">
        <v>1080</v>
      </c>
      <c r="C91" s="802" t="s">
        <v>1081</v>
      </c>
      <c r="D91" s="803">
        <v>5000</v>
      </c>
    </row>
    <row r="92" spans="2:4" ht="14.25">
      <c r="B92" s="797" t="s">
        <v>1082</v>
      </c>
      <c r="C92" s="798" t="s">
        <v>951</v>
      </c>
      <c r="D92" s="796">
        <v>6000</v>
      </c>
    </row>
    <row r="93" spans="2:4" ht="14.25">
      <c r="B93" s="797" t="s">
        <v>1083</v>
      </c>
      <c r="C93" s="798" t="s">
        <v>951</v>
      </c>
      <c r="D93" s="796">
        <v>15000</v>
      </c>
    </row>
    <row r="94" spans="2:4" ht="15" thickBot="1">
      <c r="B94" s="808" t="s">
        <v>1072</v>
      </c>
      <c r="C94" s="809" t="s">
        <v>951</v>
      </c>
      <c r="D94" s="810">
        <v>50000</v>
      </c>
    </row>
    <row r="95" spans="2:4" ht="14.25">
      <c r="B95" s="811"/>
      <c r="C95" s="811"/>
      <c r="D95" s="812"/>
    </row>
    <row r="96" spans="2:4" ht="14.25">
      <c r="B96" s="811"/>
      <c r="C96" s="811"/>
      <c r="D96" s="812"/>
    </row>
    <row r="97" spans="2:4" ht="14.25">
      <c r="B97" s="811"/>
      <c r="C97" s="811"/>
      <c r="D97" s="812"/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37">
      <selection activeCell="G7" sqref="G7"/>
    </sheetView>
  </sheetViews>
  <sheetFormatPr defaultColWidth="9.00390625" defaultRowHeight="12.75"/>
  <cols>
    <col min="1" max="1" width="3.75390625" style="0" customWidth="1"/>
    <col min="2" max="2" width="43.00390625" style="0" customWidth="1"/>
    <col min="3" max="4" width="17.75390625" style="433" customWidth="1"/>
    <col min="5" max="6" width="17.75390625" style="0" customWidth="1"/>
    <col min="7" max="7" width="13.875" style="0" bestFit="1" customWidth="1"/>
  </cols>
  <sheetData>
    <row r="1" spans="2:7" ht="24.75" customHeight="1">
      <c r="B1" s="921" t="s">
        <v>941</v>
      </c>
      <c r="C1" s="921"/>
      <c r="D1" s="742"/>
      <c r="E1" s="742"/>
      <c r="F1" s="742"/>
      <c r="G1" s="62" t="s">
        <v>1100</v>
      </c>
    </row>
    <row r="2" spans="2:7" s="478" customFormat="1" ht="15.75" customHeight="1">
      <c r="B2" s="742"/>
      <c r="C2" s="742" t="s">
        <v>942</v>
      </c>
      <c r="D2" s="742"/>
      <c r="E2" s="742"/>
      <c r="F2" s="742"/>
      <c r="G2" s="742"/>
    </row>
    <row r="3" spans="2:7" s="478" customFormat="1" ht="15.75" customHeight="1" thickBot="1">
      <c r="B3" s="742"/>
      <c r="C3" s="742"/>
      <c r="D3" s="742"/>
      <c r="E3" s="742"/>
      <c r="F3" s="742"/>
      <c r="G3" s="742"/>
    </row>
    <row r="4" spans="2:6" ht="14.25" customHeight="1">
      <c r="B4" s="924" t="s">
        <v>580</v>
      </c>
      <c r="C4" s="926" t="s">
        <v>581</v>
      </c>
      <c r="D4" s="931" t="s">
        <v>582</v>
      </c>
      <c r="E4" s="929"/>
      <c r="F4" s="930"/>
    </row>
    <row r="5" spans="2:6" ht="15" customHeight="1" thickBot="1">
      <c r="B5" s="925"/>
      <c r="C5" s="927"/>
      <c r="D5" s="482" t="s">
        <v>583</v>
      </c>
      <c r="E5" s="483" t="s">
        <v>584</v>
      </c>
      <c r="F5" s="484" t="s">
        <v>585</v>
      </c>
    </row>
    <row r="6" spans="2:6" s="25" customFormat="1" ht="15" customHeight="1" thickBot="1">
      <c r="B6" s="485" t="s">
        <v>586</v>
      </c>
      <c r="C6" s="486">
        <f aca="true" t="shared" si="0" ref="C6:C39">SUM(D6:F6)</f>
        <v>3077914.9</v>
      </c>
      <c r="D6" s="487">
        <v>3077914.9</v>
      </c>
      <c r="E6" s="488"/>
      <c r="F6" s="489"/>
    </row>
    <row r="7" spans="2:6" s="495" customFormat="1" ht="15.75" customHeight="1" thickBot="1">
      <c r="B7" s="490" t="s">
        <v>520</v>
      </c>
      <c r="C7" s="491">
        <f t="shared" si="0"/>
        <v>3077914.9</v>
      </c>
      <c r="D7" s="492">
        <f>SUM(D6)</f>
        <v>3077914.9</v>
      </c>
      <c r="E7" s="493">
        <f>SUM(E6)</f>
        <v>0</v>
      </c>
      <c r="F7" s="494">
        <f>SUM(F6)</f>
        <v>0</v>
      </c>
    </row>
    <row r="8" spans="2:6" s="501" customFormat="1" ht="13.5" customHeight="1" thickBot="1">
      <c r="B8" s="496" t="s">
        <v>587</v>
      </c>
      <c r="C8" s="497">
        <f t="shared" si="0"/>
        <v>2112477.04</v>
      </c>
      <c r="D8" s="498">
        <v>2112477.04</v>
      </c>
      <c r="E8" s="499"/>
      <c r="F8" s="500"/>
    </row>
    <row r="9" spans="2:6" s="506" customFormat="1" ht="15.75" customHeight="1" thickBot="1">
      <c r="B9" s="490" t="s">
        <v>520</v>
      </c>
      <c r="C9" s="502">
        <f t="shared" si="0"/>
        <v>2112477.04</v>
      </c>
      <c r="D9" s="503">
        <f>SUM(D8)</f>
        <v>2112477.04</v>
      </c>
      <c r="E9" s="504">
        <f>SUM(E8)</f>
        <v>0</v>
      </c>
      <c r="F9" s="505">
        <f>SUM(F8)</f>
        <v>0</v>
      </c>
    </row>
    <row r="10" spans="2:6" s="501" customFormat="1" ht="13.5" customHeight="1">
      <c r="B10" s="507" t="s">
        <v>588</v>
      </c>
      <c r="C10" s="508">
        <f t="shared" si="0"/>
        <v>46668</v>
      </c>
      <c r="D10" s="509">
        <v>46668</v>
      </c>
      <c r="E10" s="510"/>
      <c r="F10" s="511"/>
    </row>
    <row r="11" spans="2:6" s="501" customFormat="1" ht="13.5" customHeight="1">
      <c r="B11" s="512" t="s">
        <v>578</v>
      </c>
      <c r="C11" s="513">
        <f t="shared" si="0"/>
        <v>299444.5</v>
      </c>
      <c r="D11" s="514">
        <v>299444.5</v>
      </c>
      <c r="E11" s="510"/>
      <c r="F11" s="511"/>
    </row>
    <row r="12" spans="2:6" s="501" customFormat="1" ht="13.5" customHeight="1">
      <c r="B12" s="507" t="s">
        <v>589</v>
      </c>
      <c r="C12" s="513">
        <f t="shared" si="0"/>
        <v>14183700.2</v>
      </c>
      <c r="D12" s="514">
        <v>14183700.2</v>
      </c>
      <c r="E12" s="515"/>
      <c r="F12" s="516"/>
    </row>
    <row r="13" spans="2:6" s="501" customFormat="1" ht="13.5" customHeight="1">
      <c r="B13" s="517" t="s">
        <v>590</v>
      </c>
      <c r="C13" s="513">
        <f t="shared" si="0"/>
        <v>85695.8</v>
      </c>
      <c r="D13" s="509">
        <v>85695.8</v>
      </c>
      <c r="E13" s="510"/>
      <c r="F13" s="511"/>
    </row>
    <row r="14" spans="2:6" s="501" customFormat="1" ht="13.5" customHeight="1">
      <c r="B14" s="518" t="s">
        <v>591</v>
      </c>
      <c r="C14" s="519">
        <f t="shared" si="0"/>
        <v>1606537.67</v>
      </c>
      <c r="D14" s="509">
        <v>1023215.21</v>
      </c>
      <c r="E14" s="510"/>
      <c r="F14" s="520">
        <v>583322.46</v>
      </c>
    </row>
    <row r="15" spans="2:6" s="501" customFormat="1" ht="13.5" customHeight="1">
      <c r="B15" s="518" t="s">
        <v>592</v>
      </c>
      <c r="C15" s="513">
        <f t="shared" si="0"/>
        <v>289900.36</v>
      </c>
      <c r="D15" s="509">
        <v>289900.36</v>
      </c>
      <c r="E15" s="510"/>
      <c r="F15" s="511"/>
    </row>
    <row r="16" spans="2:6" s="501" customFormat="1" ht="13.5" customHeight="1">
      <c r="B16" s="507" t="s">
        <v>593</v>
      </c>
      <c r="C16" s="513">
        <f t="shared" si="0"/>
        <v>3206</v>
      </c>
      <c r="D16" s="509">
        <v>3206</v>
      </c>
      <c r="E16" s="510"/>
      <c r="F16" s="511"/>
    </row>
    <row r="17" spans="2:6" s="501" customFormat="1" ht="13.5" customHeight="1">
      <c r="B17" s="518" t="s">
        <v>594</v>
      </c>
      <c r="C17" s="519">
        <f t="shared" si="0"/>
        <v>2800</v>
      </c>
      <c r="D17" s="509">
        <v>2800</v>
      </c>
      <c r="E17" s="510"/>
      <c r="F17" s="520"/>
    </row>
    <row r="18" spans="2:6" s="501" customFormat="1" ht="13.5" customHeight="1">
      <c r="B18" s="521" t="s">
        <v>595</v>
      </c>
      <c r="C18" s="513">
        <f t="shared" si="0"/>
        <v>-38152.7</v>
      </c>
      <c r="D18" s="509">
        <v>-38152.7</v>
      </c>
      <c r="E18" s="510"/>
      <c r="F18" s="520"/>
    </row>
    <row r="19" spans="2:6" s="501" customFormat="1" ht="13.5" customHeight="1">
      <c r="B19" s="507" t="s">
        <v>596</v>
      </c>
      <c r="C19" s="513">
        <f t="shared" si="0"/>
        <v>1132300</v>
      </c>
      <c r="D19" s="509"/>
      <c r="E19" s="510"/>
      <c r="F19" s="511">
        <v>1132300</v>
      </c>
    </row>
    <row r="20" spans="2:6" s="501" customFormat="1" ht="13.5" customHeight="1">
      <c r="B20" s="507" t="s">
        <v>597</v>
      </c>
      <c r="C20" s="513">
        <f t="shared" si="0"/>
        <v>-495000</v>
      </c>
      <c r="D20" s="509">
        <v>-495000</v>
      </c>
      <c r="E20" s="510"/>
      <c r="F20" s="511"/>
    </row>
    <row r="21" spans="2:6" s="501" customFormat="1" ht="13.5" customHeight="1">
      <c r="B21" s="518" t="s">
        <v>598</v>
      </c>
      <c r="C21" s="519">
        <f t="shared" si="0"/>
        <v>594578.84</v>
      </c>
      <c r="D21" s="522"/>
      <c r="E21" s="523"/>
      <c r="F21" s="524">
        <v>594578.84</v>
      </c>
    </row>
    <row r="22" spans="2:6" s="501" customFormat="1" ht="13.5" customHeight="1">
      <c r="B22" s="518" t="s">
        <v>599</v>
      </c>
      <c r="C22" s="525">
        <f t="shared" si="0"/>
        <v>659726.75</v>
      </c>
      <c r="D22" s="509"/>
      <c r="E22" s="510"/>
      <c r="F22" s="511">
        <v>659726.75</v>
      </c>
    </row>
    <row r="23" spans="2:6" s="501" customFormat="1" ht="13.5" customHeight="1">
      <c r="B23" s="518" t="s">
        <v>600</v>
      </c>
      <c r="C23" s="513">
        <f t="shared" si="0"/>
        <v>216312.52</v>
      </c>
      <c r="D23" s="509"/>
      <c r="E23" s="510"/>
      <c r="F23" s="511">
        <v>216312.52</v>
      </c>
    </row>
    <row r="24" spans="2:6" s="501" customFormat="1" ht="13.5" customHeight="1">
      <c r="B24" s="518" t="s">
        <v>601</v>
      </c>
      <c r="C24" s="525">
        <f t="shared" si="0"/>
        <v>3059143.41</v>
      </c>
      <c r="D24" s="509"/>
      <c r="E24" s="510"/>
      <c r="F24" s="511">
        <v>3059143.41</v>
      </c>
    </row>
    <row r="25" spans="2:6" s="501" customFormat="1" ht="13.5" customHeight="1">
      <c r="B25" s="518" t="s">
        <v>602</v>
      </c>
      <c r="C25" s="513">
        <f t="shared" si="0"/>
        <v>1943337.9</v>
      </c>
      <c r="D25" s="509"/>
      <c r="E25" s="510"/>
      <c r="F25" s="511">
        <v>1943337.9</v>
      </c>
    </row>
    <row r="26" spans="2:6" s="501" customFormat="1" ht="13.5" customHeight="1">
      <c r="B26" s="507" t="s">
        <v>603</v>
      </c>
      <c r="C26" s="513">
        <f t="shared" si="0"/>
        <v>631514</v>
      </c>
      <c r="D26" s="514">
        <v>631514</v>
      </c>
      <c r="E26" s="526"/>
      <c r="F26" s="516"/>
    </row>
    <row r="27" spans="2:6" s="501" customFormat="1" ht="13.5" customHeight="1">
      <c r="B27" s="507" t="s">
        <v>604</v>
      </c>
      <c r="C27" s="513">
        <f t="shared" si="0"/>
        <v>33527.3</v>
      </c>
      <c r="D27" s="514">
        <v>33527.3</v>
      </c>
      <c r="E27" s="526"/>
      <c r="F27" s="516"/>
    </row>
    <row r="28" spans="2:6" s="501" customFormat="1" ht="13.5" customHeight="1">
      <c r="B28" s="507" t="s">
        <v>605</v>
      </c>
      <c r="C28" s="513">
        <f t="shared" si="0"/>
        <v>800000</v>
      </c>
      <c r="D28" s="509">
        <v>800000</v>
      </c>
      <c r="E28" s="526"/>
      <c r="F28" s="516"/>
    </row>
    <row r="29" spans="2:6" s="501" customFormat="1" ht="13.5" customHeight="1">
      <c r="B29" s="512" t="s">
        <v>606</v>
      </c>
      <c r="C29" s="513">
        <f t="shared" si="0"/>
        <v>50666318.9</v>
      </c>
      <c r="D29" s="514">
        <v>558350.9</v>
      </c>
      <c r="E29" s="526">
        <v>47600227</v>
      </c>
      <c r="F29" s="516">
        <v>2507741</v>
      </c>
    </row>
    <row r="30" spans="2:6" s="501" customFormat="1" ht="13.5" customHeight="1">
      <c r="B30" s="512" t="s">
        <v>607</v>
      </c>
      <c r="C30" s="525">
        <f t="shared" si="0"/>
        <v>21172194.06</v>
      </c>
      <c r="D30" s="514">
        <v>-31125.8</v>
      </c>
      <c r="E30" s="526">
        <v>21203319.86</v>
      </c>
      <c r="F30" s="516"/>
    </row>
    <row r="31" spans="2:6" s="501" customFormat="1" ht="13.5" customHeight="1">
      <c r="B31" s="512" t="s">
        <v>608</v>
      </c>
      <c r="C31" s="513">
        <f t="shared" si="0"/>
        <v>-1127377.64</v>
      </c>
      <c r="D31" s="514">
        <v>-1127377.64</v>
      </c>
      <c r="E31" s="510"/>
      <c r="F31" s="511"/>
    </row>
    <row r="32" spans="2:6" s="501" customFormat="1" ht="13.5" customHeight="1">
      <c r="B32" s="507" t="s">
        <v>609</v>
      </c>
      <c r="C32" s="513">
        <f t="shared" si="0"/>
        <v>1250.9</v>
      </c>
      <c r="D32" s="509">
        <v>1250.9</v>
      </c>
      <c r="E32" s="510"/>
      <c r="F32" s="520"/>
    </row>
    <row r="33" spans="2:6" s="501" customFormat="1" ht="13.5" customHeight="1">
      <c r="B33" s="518" t="s">
        <v>579</v>
      </c>
      <c r="C33" s="519">
        <f t="shared" si="0"/>
        <v>784138</v>
      </c>
      <c r="D33" s="509">
        <v>784138</v>
      </c>
      <c r="E33" s="510"/>
      <c r="F33" s="520"/>
    </row>
    <row r="34" spans="2:6" s="501" customFormat="1" ht="13.5" customHeight="1">
      <c r="B34" s="507" t="s">
        <v>610</v>
      </c>
      <c r="C34" s="513">
        <f t="shared" si="0"/>
        <v>34293</v>
      </c>
      <c r="D34" s="527">
        <v>34293</v>
      </c>
      <c r="E34" s="528"/>
      <c r="F34" s="529"/>
    </row>
    <row r="35" spans="2:6" s="501" customFormat="1" ht="13.5" customHeight="1" thickBot="1">
      <c r="B35" s="530" t="s">
        <v>611</v>
      </c>
      <c r="C35" s="525">
        <f t="shared" si="0"/>
        <v>180000</v>
      </c>
      <c r="D35" s="527">
        <v>180000</v>
      </c>
      <c r="E35" s="528"/>
      <c r="F35" s="529"/>
    </row>
    <row r="36" spans="2:7" s="506" customFormat="1" ht="15.75" customHeight="1" thickBot="1">
      <c r="B36" s="490" t="s">
        <v>520</v>
      </c>
      <c r="C36" s="502">
        <f t="shared" si="0"/>
        <v>96766057.77</v>
      </c>
      <c r="D36" s="503">
        <f>SUM(D10:D35)</f>
        <v>17266048.03</v>
      </c>
      <c r="E36" s="504">
        <f>SUM(E10:E35)</f>
        <v>68803546.86</v>
      </c>
      <c r="F36" s="505">
        <f>SUM(F10:F35)</f>
        <v>10696462.88</v>
      </c>
      <c r="G36" s="531"/>
    </row>
    <row r="37" spans="2:6" s="501" customFormat="1" ht="13.5" customHeight="1">
      <c r="B37" s="532" t="s">
        <v>612</v>
      </c>
      <c r="C37" s="525">
        <f t="shared" si="0"/>
        <v>23398.2</v>
      </c>
      <c r="D37" s="533">
        <v>23398.2</v>
      </c>
      <c r="E37" s="534"/>
      <c r="F37" s="535"/>
    </row>
    <row r="38" spans="2:6" s="501" customFormat="1" ht="13.5" customHeight="1">
      <c r="B38" s="512" t="s">
        <v>577</v>
      </c>
      <c r="C38" s="513">
        <f t="shared" si="0"/>
        <v>50674277.620000005</v>
      </c>
      <c r="D38" s="514">
        <v>20066824.62</v>
      </c>
      <c r="E38" s="510"/>
      <c r="F38" s="511">
        <v>30607453</v>
      </c>
    </row>
    <row r="39" spans="2:6" s="501" customFormat="1" ht="13.5" customHeight="1" thickBot="1">
      <c r="B39" s="536" t="s">
        <v>613</v>
      </c>
      <c r="C39" s="537">
        <f t="shared" si="0"/>
        <v>460000</v>
      </c>
      <c r="D39" s="538">
        <v>460000</v>
      </c>
      <c r="E39" s="539"/>
      <c r="F39" s="540"/>
    </row>
    <row r="41" ht="14.25">
      <c r="B41" s="461"/>
    </row>
    <row r="42" spans="2:6" ht="15.75" thickBot="1">
      <c r="B42" s="478"/>
      <c r="C42" s="479"/>
      <c r="D42" s="480"/>
      <c r="E42" s="478"/>
      <c r="F42" s="481"/>
    </row>
    <row r="43" spans="2:6" ht="14.25" customHeight="1">
      <c r="B43" s="924" t="s">
        <v>580</v>
      </c>
      <c r="C43" s="926" t="s">
        <v>581</v>
      </c>
      <c r="D43" s="928" t="s">
        <v>582</v>
      </c>
      <c r="E43" s="929"/>
      <c r="F43" s="930"/>
    </row>
    <row r="44" spans="2:6" ht="13.5" customHeight="1" thickBot="1">
      <c r="B44" s="925"/>
      <c r="C44" s="927"/>
      <c r="D44" s="482" t="s">
        <v>583</v>
      </c>
      <c r="E44" s="483" t="s">
        <v>584</v>
      </c>
      <c r="F44" s="541" t="s">
        <v>585</v>
      </c>
    </row>
    <row r="45" spans="2:6" ht="12.75">
      <c r="B45" s="542" t="s">
        <v>614</v>
      </c>
      <c r="C45" s="543">
        <f aca="true" t="shared" si="1" ref="C45:C50">SUM(D45:F45)</f>
        <v>89864</v>
      </c>
      <c r="D45" s="544">
        <v>89864</v>
      </c>
      <c r="E45" s="545"/>
      <c r="F45" s="546"/>
    </row>
    <row r="46" spans="2:6" s="501" customFormat="1" ht="13.5" customHeight="1" thickBot="1">
      <c r="B46" s="536" t="s">
        <v>615</v>
      </c>
      <c r="C46" s="537">
        <f t="shared" si="1"/>
        <v>168515</v>
      </c>
      <c r="D46" s="547">
        <v>168515</v>
      </c>
      <c r="E46" s="539"/>
      <c r="F46" s="540"/>
    </row>
    <row r="47" spans="2:6" ht="15.75" customHeight="1" thickBot="1">
      <c r="B47" s="490" t="s">
        <v>520</v>
      </c>
      <c r="C47" s="502">
        <f t="shared" si="1"/>
        <v>51416054.82</v>
      </c>
      <c r="D47" s="548">
        <f>SUM(D37:D39)+SUM(D45:D46)</f>
        <v>20808601.82</v>
      </c>
      <c r="E47" s="504">
        <f>SUM(E37:E39)+SUM(E45:E46)</f>
        <v>0</v>
      </c>
      <c r="F47" s="505">
        <f>SUM(F37:F39)+SUM(F45:F46)</f>
        <v>30607453</v>
      </c>
    </row>
    <row r="48" spans="2:6" ht="15" customHeight="1" thickBot="1">
      <c r="B48" s="532" t="s">
        <v>616</v>
      </c>
      <c r="C48" s="525">
        <f t="shared" si="1"/>
        <v>185412.5</v>
      </c>
      <c r="D48" s="549">
        <v>185412.5</v>
      </c>
      <c r="E48" s="550"/>
      <c r="F48" s="551"/>
    </row>
    <row r="49" spans="2:6" ht="15.75" customHeight="1" thickBot="1">
      <c r="B49" s="552" t="s">
        <v>520</v>
      </c>
      <c r="C49" s="553">
        <f t="shared" si="1"/>
        <v>185412.5</v>
      </c>
      <c r="D49" s="554">
        <f>SUM(D48)</f>
        <v>185412.5</v>
      </c>
      <c r="E49" s="555">
        <f>SUM(E48)</f>
        <v>0</v>
      </c>
      <c r="F49" s="556">
        <f>SUM(F48)</f>
        <v>0</v>
      </c>
    </row>
    <row r="50" spans="2:6" s="477" customFormat="1" ht="27.75" customHeight="1" thickBot="1" thickTop="1">
      <c r="B50" s="557" t="s">
        <v>617</v>
      </c>
      <c r="C50" s="558">
        <f t="shared" si="1"/>
        <v>153557917.03</v>
      </c>
      <c r="D50" s="559">
        <f>SUM(D49+D47+D36+D9+D7)</f>
        <v>43450454.29</v>
      </c>
      <c r="E50" s="560">
        <f>SUM(E49+E47+E36+E9+E7)</f>
        <v>68803546.86</v>
      </c>
      <c r="F50" s="561">
        <f>SUM(F49+F47+F36+F9+F7)</f>
        <v>41303915.88</v>
      </c>
    </row>
    <row r="51" spans="2:6" s="567" customFormat="1" ht="27.75" customHeight="1" thickBot="1">
      <c r="B51" s="562" t="s">
        <v>618</v>
      </c>
      <c r="C51" s="563">
        <f>SUM(D51:F51)</f>
        <v>327922678.2</v>
      </c>
      <c r="D51" s="564">
        <v>313997819</v>
      </c>
      <c r="E51" s="565">
        <v>13565525.2</v>
      </c>
      <c r="F51" s="566">
        <v>359334</v>
      </c>
    </row>
    <row r="52" spans="2:6" ht="28.5" customHeight="1" thickBot="1" thickTop="1">
      <c r="B52" s="568" t="s">
        <v>619</v>
      </c>
      <c r="C52" s="569">
        <f>SUM(D52:F52)</f>
        <v>481480595.23</v>
      </c>
      <c r="D52" s="570">
        <f>SUM(D50:D51)</f>
        <v>357448273.29</v>
      </c>
      <c r="E52" s="571">
        <f>SUM(E50:E51)</f>
        <v>82369072.06</v>
      </c>
      <c r="F52" s="572">
        <f>SUM(F50:F51)</f>
        <v>41663249.88</v>
      </c>
    </row>
  </sheetData>
  <mergeCells count="7">
    <mergeCell ref="B1:C1"/>
    <mergeCell ref="B43:B44"/>
    <mergeCell ref="C43:C44"/>
    <mergeCell ref="D43:F43"/>
    <mergeCell ref="B4:B5"/>
    <mergeCell ref="C4:C5"/>
    <mergeCell ref="D4:F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61">
      <selection activeCell="D68" sqref="D68"/>
    </sheetView>
  </sheetViews>
  <sheetFormatPr defaultColWidth="9.00390625" defaultRowHeight="12.75"/>
  <cols>
    <col min="1" max="1" width="21.875" style="0" customWidth="1"/>
    <col min="2" max="2" width="20.00390625" style="0" customWidth="1"/>
    <col min="3" max="3" width="28.75390625" style="0" customWidth="1"/>
    <col min="4" max="4" width="18.25390625" style="0" customWidth="1"/>
    <col min="5" max="5" width="20.75390625" style="11" customWidth="1"/>
    <col min="6" max="6" width="20.625" style="0" customWidth="1"/>
    <col min="7" max="7" width="19.25390625" style="0" customWidth="1"/>
    <col min="8" max="8" width="11.125" style="0" bestFit="1" customWidth="1"/>
  </cols>
  <sheetData>
    <row r="1" spans="1:7" s="26" customFormat="1" ht="23.25" customHeight="1">
      <c r="A1" s="638" t="s">
        <v>792</v>
      </c>
      <c r="B1" s="639"/>
      <c r="C1" s="640"/>
      <c r="D1" s="640"/>
      <c r="E1" s="640"/>
      <c r="F1" s="640"/>
      <c r="G1" s="822" t="s">
        <v>1101</v>
      </c>
    </row>
    <row r="2" spans="1:6" ht="18.75" thickBot="1">
      <c r="A2" s="234"/>
      <c r="C2" s="11"/>
      <c r="D2" s="11"/>
      <c r="F2" s="11"/>
    </row>
    <row r="3" spans="1:7" ht="12.75">
      <c r="A3" s="641" t="s">
        <v>793</v>
      </c>
      <c r="B3" s="641" t="s">
        <v>794</v>
      </c>
      <c r="C3" s="642" t="s">
        <v>795</v>
      </c>
      <c r="D3" s="642" t="s">
        <v>796</v>
      </c>
      <c r="E3" s="642" t="s">
        <v>797</v>
      </c>
      <c r="F3" s="643" t="s">
        <v>798</v>
      </c>
      <c r="G3" s="644" t="s">
        <v>799</v>
      </c>
    </row>
    <row r="4" spans="1:7" ht="13.5" thickBot="1">
      <c r="A4" s="645"/>
      <c r="B4" s="645" t="s">
        <v>800</v>
      </c>
      <c r="C4" s="646"/>
      <c r="D4" s="646" t="s">
        <v>801</v>
      </c>
      <c r="E4" s="646" t="s">
        <v>802</v>
      </c>
      <c r="F4" s="647" t="s">
        <v>800</v>
      </c>
      <c r="G4" s="648" t="s">
        <v>803</v>
      </c>
    </row>
    <row r="5" spans="1:7" ht="12.75">
      <c r="A5" s="649" t="s">
        <v>804</v>
      </c>
      <c r="B5" s="649" t="s">
        <v>805</v>
      </c>
      <c r="C5" s="650" t="s">
        <v>806</v>
      </c>
      <c r="D5" s="651">
        <v>42000000</v>
      </c>
      <c r="E5" s="651">
        <v>5000000</v>
      </c>
      <c r="F5" s="650">
        <v>13137794</v>
      </c>
      <c r="G5" s="652">
        <v>2011</v>
      </c>
    </row>
    <row r="6" spans="1:7" ht="12.75">
      <c r="A6" s="653" t="s">
        <v>804</v>
      </c>
      <c r="B6" s="654" t="s">
        <v>805</v>
      </c>
      <c r="C6" s="655" t="s">
        <v>807</v>
      </c>
      <c r="D6" s="656">
        <v>249623164</v>
      </c>
      <c r="E6" s="656">
        <v>14100000</v>
      </c>
      <c r="F6" s="655">
        <v>243548164</v>
      </c>
      <c r="G6" s="657">
        <v>2024</v>
      </c>
    </row>
    <row r="7" spans="1:7" ht="12.75">
      <c r="A7" s="653" t="s">
        <v>804</v>
      </c>
      <c r="B7" s="654" t="s">
        <v>805</v>
      </c>
      <c r="C7" s="655" t="s">
        <v>807</v>
      </c>
      <c r="D7" s="656">
        <v>250000000</v>
      </c>
      <c r="E7" s="656">
        <v>14078873</v>
      </c>
      <c r="F7" s="658">
        <v>246380281.69</v>
      </c>
      <c r="G7" s="657">
        <v>2024</v>
      </c>
    </row>
    <row r="8" spans="1:7" ht="12.75">
      <c r="A8" s="654" t="s">
        <v>804</v>
      </c>
      <c r="B8" s="654" t="s">
        <v>805</v>
      </c>
      <c r="C8" s="655" t="s">
        <v>807</v>
      </c>
      <c r="D8" s="656">
        <v>110000000</v>
      </c>
      <c r="E8" s="656">
        <f>705000*12</f>
        <v>8460000</v>
      </c>
      <c r="F8" s="658">
        <v>110000000</v>
      </c>
      <c r="G8" s="657">
        <v>2020</v>
      </c>
    </row>
    <row r="9" spans="1:7" ht="12.75">
      <c r="A9" s="652" t="s">
        <v>808</v>
      </c>
      <c r="B9" s="659" t="s">
        <v>809</v>
      </c>
      <c r="C9" s="655" t="s">
        <v>807</v>
      </c>
      <c r="D9" s="660">
        <v>140000000</v>
      </c>
      <c r="E9" s="660">
        <v>9087240</v>
      </c>
      <c r="F9" s="661">
        <v>61354551.39</v>
      </c>
      <c r="G9" s="652">
        <v>2013</v>
      </c>
    </row>
    <row r="10" spans="1:7" ht="12.75">
      <c r="A10" s="662" t="s">
        <v>804</v>
      </c>
      <c r="B10" s="663" t="s">
        <v>805</v>
      </c>
      <c r="C10" s="661" t="s">
        <v>810</v>
      </c>
      <c r="D10" s="664">
        <v>90000000</v>
      </c>
      <c r="E10" s="665">
        <v>6000000</v>
      </c>
      <c r="F10" s="661">
        <v>90000000</v>
      </c>
      <c r="G10" s="666">
        <v>2021</v>
      </c>
    </row>
    <row r="11" spans="1:8" ht="13.5" thickBot="1">
      <c r="A11" s="667" t="s">
        <v>811</v>
      </c>
      <c r="B11" s="668" t="s">
        <v>812</v>
      </c>
      <c r="C11" s="669" t="s">
        <v>813</v>
      </c>
      <c r="D11" s="670">
        <v>30000000</v>
      </c>
      <c r="E11" s="656">
        <v>0</v>
      </c>
      <c r="F11" s="669">
        <v>30000000</v>
      </c>
      <c r="G11" s="671">
        <v>39386</v>
      </c>
      <c r="H11" s="11">
        <f>F10+F8+F7+F6+F5</f>
        <v>703066239.69</v>
      </c>
    </row>
    <row r="12" spans="1:7" s="26" customFormat="1" ht="13.5" thickBot="1">
      <c r="A12" s="672" t="str">
        <f>A27</f>
        <v>SPOLU</v>
      </c>
      <c r="B12" s="673"/>
      <c r="C12" s="674"/>
      <c r="D12" s="675">
        <f>SUM(D5:D11)</f>
        <v>911623164</v>
      </c>
      <c r="E12" s="676">
        <f>SUM(E5:E11)</f>
        <v>56726113</v>
      </c>
      <c r="F12" s="675">
        <f>SUM(F5:F11)</f>
        <v>794420791.08</v>
      </c>
      <c r="G12" s="677"/>
    </row>
    <row r="13" spans="1:7" ht="13.5" thickBot="1">
      <c r="A13" s="678"/>
      <c r="B13" s="678"/>
      <c r="C13" s="60"/>
      <c r="D13" s="679"/>
      <c r="E13" s="680"/>
      <c r="F13" s="60"/>
      <c r="G13" s="678"/>
    </row>
    <row r="14" spans="1:7" s="682" customFormat="1" ht="12.75">
      <c r="A14" s="641" t="s">
        <v>793</v>
      </c>
      <c r="B14" s="644" t="s">
        <v>794</v>
      </c>
      <c r="C14" s="642" t="s">
        <v>795</v>
      </c>
      <c r="D14" s="642" t="s">
        <v>796</v>
      </c>
      <c r="E14" s="642" t="s">
        <v>797</v>
      </c>
      <c r="F14" s="681" t="s">
        <v>798</v>
      </c>
      <c r="G14" s="644" t="s">
        <v>799</v>
      </c>
    </row>
    <row r="15" spans="1:7" s="682" customFormat="1" ht="13.5" thickBot="1">
      <c r="A15" s="645"/>
      <c r="B15" s="648" t="s">
        <v>800</v>
      </c>
      <c r="C15" s="646" t="s">
        <v>800</v>
      </c>
      <c r="D15" s="646" t="s">
        <v>801</v>
      </c>
      <c r="E15" s="646"/>
      <c r="F15" s="683" t="s">
        <v>800</v>
      </c>
      <c r="G15" s="648" t="s">
        <v>803</v>
      </c>
    </row>
    <row r="16" spans="1:7" ht="12.75">
      <c r="A16" s="684" t="s">
        <v>814</v>
      </c>
      <c r="B16" s="685" t="s">
        <v>815</v>
      </c>
      <c r="C16" s="686" t="s">
        <v>816</v>
      </c>
      <c r="D16" s="687">
        <v>15713000</v>
      </c>
      <c r="E16" s="688">
        <f>78685*12</f>
        <v>944220</v>
      </c>
      <c r="F16" s="688">
        <v>14638938.51</v>
      </c>
      <c r="G16" s="689">
        <v>2031</v>
      </c>
    </row>
    <row r="17" spans="1:7" ht="12.75">
      <c r="A17" s="653" t="s">
        <v>814</v>
      </c>
      <c r="B17" s="690" t="s">
        <v>815</v>
      </c>
      <c r="C17" s="691" t="s">
        <v>816</v>
      </c>
      <c r="D17" s="661">
        <v>27795000</v>
      </c>
      <c r="E17" s="692">
        <f>139187*12</f>
        <v>1670244</v>
      </c>
      <c r="F17" s="692">
        <v>25895090.64</v>
      </c>
      <c r="G17" s="693">
        <v>2031</v>
      </c>
    </row>
    <row r="18" spans="1:7" ht="12.75">
      <c r="A18" s="653" t="s">
        <v>814</v>
      </c>
      <c r="B18" s="690" t="s">
        <v>815</v>
      </c>
      <c r="C18" s="691" t="s">
        <v>816</v>
      </c>
      <c r="D18" s="660">
        <v>10481000</v>
      </c>
      <c r="E18" s="694">
        <f>52485*12</f>
        <v>629820</v>
      </c>
      <c r="F18" s="694">
        <v>9764574.32</v>
      </c>
      <c r="G18" s="652">
        <v>2031</v>
      </c>
    </row>
    <row r="19" spans="1:7" ht="12.75">
      <c r="A19" s="653" t="s">
        <v>814</v>
      </c>
      <c r="B19" s="690" t="s">
        <v>815</v>
      </c>
      <c r="C19" s="691" t="s">
        <v>816</v>
      </c>
      <c r="D19" s="660">
        <v>50992000</v>
      </c>
      <c r="E19" s="694">
        <f>240514*12</f>
        <v>2886168</v>
      </c>
      <c r="F19" s="694">
        <v>47740536</v>
      </c>
      <c r="G19" s="652">
        <v>2032</v>
      </c>
    </row>
    <row r="20" spans="1:7" ht="12.75">
      <c r="A20" s="654" t="s">
        <v>817</v>
      </c>
      <c r="B20" s="690" t="s">
        <v>815</v>
      </c>
      <c r="C20" s="691" t="s">
        <v>816</v>
      </c>
      <c r="D20" s="695">
        <v>33264000</v>
      </c>
      <c r="E20" s="696">
        <v>1320888</v>
      </c>
      <c r="F20" s="696">
        <v>31084032.61</v>
      </c>
      <c r="G20" s="697">
        <v>2034</v>
      </c>
    </row>
    <row r="21" spans="1:7" ht="12.75">
      <c r="A21" s="654" t="s">
        <v>817</v>
      </c>
      <c r="B21" s="690" t="s">
        <v>815</v>
      </c>
      <c r="C21" s="691" t="s">
        <v>816</v>
      </c>
      <c r="D21" s="695">
        <v>57640000</v>
      </c>
      <c r="E21" s="696">
        <v>2224728</v>
      </c>
      <c r="F21" s="696">
        <v>55428439.7</v>
      </c>
      <c r="G21" s="697">
        <v>2035</v>
      </c>
    </row>
    <row r="22" spans="1:7" ht="12.75">
      <c r="A22" s="654" t="s">
        <v>817</v>
      </c>
      <c r="B22" s="690" t="s">
        <v>815</v>
      </c>
      <c r="C22" s="691" t="s">
        <v>816</v>
      </c>
      <c r="D22" s="695">
        <v>38457000</v>
      </c>
      <c r="E22" s="696">
        <v>1484316</v>
      </c>
      <c r="F22" s="696">
        <v>36981471.71</v>
      </c>
      <c r="G22" s="697">
        <v>2035</v>
      </c>
    </row>
    <row r="23" spans="1:7" ht="12.75">
      <c r="A23" s="654" t="s">
        <v>817</v>
      </c>
      <c r="B23" s="690" t="s">
        <v>815</v>
      </c>
      <c r="C23" s="691" t="s">
        <v>816</v>
      </c>
      <c r="D23" s="695">
        <v>38457000</v>
      </c>
      <c r="E23" s="696">
        <v>1484316</v>
      </c>
      <c r="F23" s="696">
        <v>36981471.71</v>
      </c>
      <c r="G23" s="697">
        <v>2035</v>
      </c>
    </row>
    <row r="24" spans="1:7" ht="12.75">
      <c r="A24" s="654" t="s">
        <v>817</v>
      </c>
      <c r="B24" s="690" t="s">
        <v>815</v>
      </c>
      <c r="C24" s="691" t="s">
        <v>816</v>
      </c>
      <c r="D24" s="695">
        <v>17710000</v>
      </c>
      <c r="E24" s="696">
        <v>703248</v>
      </c>
      <c r="F24" s="696">
        <v>16633358.51</v>
      </c>
      <c r="G24" s="697">
        <v>2034</v>
      </c>
    </row>
    <row r="25" spans="1:7" ht="12.75">
      <c r="A25" s="654" t="s">
        <v>817</v>
      </c>
      <c r="B25" s="690" t="s">
        <v>815</v>
      </c>
      <c r="C25" s="691" t="s">
        <v>816</v>
      </c>
      <c r="D25" s="695">
        <v>59226000</v>
      </c>
      <c r="E25" s="696">
        <v>2285940</v>
      </c>
      <c r="F25" s="660">
        <v>58604122.85</v>
      </c>
      <c r="G25" s="697">
        <v>2036</v>
      </c>
    </row>
    <row r="26" spans="1:7" ht="13.5" thickBot="1">
      <c r="A26" s="654" t="s">
        <v>817</v>
      </c>
      <c r="B26" s="698" t="s">
        <v>815</v>
      </c>
      <c r="C26" s="699" t="s">
        <v>816</v>
      </c>
      <c r="D26" s="695">
        <v>30364000</v>
      </c>
      <c r="E26" s="696">
        <v>1171956</v>
      </c>
      <c r="F26" s="700">
        <v>30171598.15</v>
      </c>
      <c r="G26" s="697">
        <v>2036</v>
      </c>
    </row>
    <row r="27" spans="1:7" s="26" customFormat="1" ht="13.5" thickBot="1">
      <c r="A27" s="701" t="s">
        <v>68</v>
      </c>
      <c r="B27" s="701"/>
      <c r="C27" s="675"/>
      <c r="D27" s="675">
        <f>SUM(D16:D26)</f>
        <v>380099000</v>
      </c>
      <c r="E27" s="702">
        <f>SUM(E16:E26)</f>
        <v>16805844</v>
      </c>
      <c r="F27" s="702">
        <f>SUM(F16:F26)</f>
        <v>363923634.71000004</v>
      </c>
      <c r="G27" s="701"/>
    </row>
    <row r="28" spans="1:7" ht="12.75">
      <c r="A28" s="634"/>
      <c r="B28" s="319"/>
      <c r="C28" s="703"/>
      <c r="D28" s="703"/>
      <c r="E28" s="703"/>
      <c r="F28" s="703"/>
      <c r="G28" s="319"/>
    </row>
    <row r="29" spans="1:7" ht="18.75" thickBot="1">
      <c r="A29" s="704" t="s">
        <v>818</v>
      </c>
      <c r="B29" s="634"/>
      <c r="C29" s="705"/>
      <c r="D29" s="705"/>
      <c r="E29" s="705"/>
      <c r="F29" s="705"/>
      <c r="G29" s="634"/>
    </row>
    <row r="30" spans="1:7" s="682" customFormat="1" ht="12.75">
      <c r="A30" s="644" t="s">
        <v>819</v>
      </c>
      <c r="B30" s="706" t="s">
        <v>820</v>
      </c>
      <c r="C30" s="642" t="s">
        <v>795</v>
      </c>
      <c r="D30" s="642" t="s">
        <v>821</v>
      </c>
      <c r="E30" s="642" t="s">
        <v>822</v>
      </c>
      <c r="F30" s="642" t="s">
        <v>798</v>
      </c>
      <c r="G30" s="644" t="s">
        <v>799</v>
      </c>
    </row>
    <row r="31" spans="1:7" s="682" customFormat="1" ht="13.5" thickBot="1">
      <c r="A31" s="707"/>
      <c r="B31" s="708"/>
      <c r="C31" s="646"/>
      <c r="D31" s="646" t="s">
        <v>823</v>
      </c>
      <c r="E31" s="646" t="s">
        <v>824</v>
      </c>
      <c r="F31" s="648"/>
      <c r="G31" s="648" t="s">
        <v>803</v>
      </c>
    </row>
    <row r="32" spans="1:7" ht="13.5" thickBot="1">
      <c r="A32" s="709" t="s">
        <v>804</v>
      </c>
      <c r="B32" s="710">
        <v>37872</v>
      </c>
      <c r="C32" s="711" t="s">
        <v>825</v>
      </c>
      <c r="D32" s="711">
        <v>100000000</v>
      </c>
      <c r="E32" s="712">
        <v>40000000</v>
      </c>
      <c r="F32" s="711">
        <v>100000000</v>
      </c>
      <c r="G32" s="713">
        <v>39699</v>
      </c>
    </row>
    <row r="33" spans="1:7" s="26" customFormat="1" ht="13.5" thickBot="1">
      <c r="A33" s="672" t="s">
        <v>68</v>
      </c>
      <c r="B33" s="673"/>
      <c r="C33" s="674"/>
      <c r="D33" s="676"/>
      <c r="E33" s="675">
        <f>SUM(E32)</f>
        <v>40000000</v>
      </c>
      <c r="F33" s="674">
        <f>SUM(F32)</f>
        <v>100000000</v>
      </c>
      <c r="G33" s="677"/>
    </row>
    <row r="35" spans="1:7" ht="12.75">
      <c r="A35" s="714"/>
      <c r="B35" s="715"/>
      <c r="D35" s="715"/>
      <c r="E35" s="715"/>
      <c r="G35" s="715"/>
    </row>
    <row r="36" spans="1:5" s="26" customFormat="1" ht="18.75" thickBot="1">
      <c r="A36" s="205" t="s">
        <v>826</v>
      </c>
      <c r="E36" s="246"/>
    </row>
    <row r="37" spans="1:7" s="682" customFormat="1" ht="12.75">
      <c r="A37" s="641" t="s">
        <v>793</v>
      </c>
      <c r="B37" s="641" t="s">
        <v>794</v>
      </c>
      <c r="C37" s="642" t="s">
        <v>795</v>
      </c>
      <c r="D37" s="642" t="s">
        <v>796</v>
      </c>
      <c r="E37" s="642"/>
      <c r="F37" s="642" t="s">
        <v>798</v>
      </c>
      <c r="G37" s="644" t="s">
        <v>799</v>
      </c>
    </row>
    <row r="38" spans="1:7" s="682" customFormat="1" ht="13.5" thickBot="1">
      <c r="A38" s="645"/>
      <c r="B38" s="645" t="s">
        <v>800</v>
      </c>
      <c r="C38" s="646"/>
      <c r="D38" s="646" t="s">
        <v>801</v>
      </c>
      <c r="E38" s="646"/>
      <c r="F38" s="646" t="s">
        <v>800</v>
      </c>
      <c r="G38" s="648" t="s">
        <v>803</v>
      </c>
    </row>
    <row r="39" spans="1:7" ht="12.75">
      <c r="A39" s="649" t="s">
        <v>827</v>
      </c>
      <c r="B39" s="649" t="s">
        <v>828</v>
      </c>
      <c r="C39" s="650" t="s">
        <v>829</v>
      </c>
      <c r="D39" s="651">
        <v>827000000</v>
      </c>
      <c r="E39" s="651"/>
      <c r="F39" s="650">
        <f>D39</f>
        <v>827000000</v>
      </c>
      <c r="G39" s="716">
        <v>39263</v>
      </c>
    </row>
    <row r="40" spans="1:7" ht="13.5" thickBot="1">
      <c r="A40" s="717" t="s">
        <v>827</v>
      </c>
      <c r="B40" s="718" t="s">
        <v>828</v>
      </c>
      <c r="C40" s="719" t="s">
        <v>830</v>
      </c>
      <c r="D40" s="720">
        <v>529408000</v>
      </c>
      <c r="E40" s="721"/>
      <c r="F40" s="719">
        <f>D40</f>
        <v>529408000</v>
      </c>
      <c r="G40" s="722">
        <v>39994</v>
      </c>
    </row>
    <row r="41" spans="1:7" s="26" customFormat="1" ht="13.5" thickBot="1">
      <c r="A41" s="672" t="s">
        <v>68</v>
      </c>
      <c r="B41" s="673"/>
      <c r="C41" s="674"/>
      <c r="D41" s="676"/>
      <c r="E41" s="676"/>
      <c r="F41" s="674">
        <f>SUM(F39:F40)</f>
        <v>1356408000</v>
      </c>
      <c r="G41" s="677"/>
    </row>
    <row r="43" spans="1:2" ht="12.75">
      <c r="A43" s="723"/>
      <c r="B43" s="723"/>
    </row>
    <row r="45" spans="3:6" ht="12.75">
      <c r="C45" s="11"/>
      <c r="F45" s="11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</sheetData>
  <printOptions/>
  <pageMargins left="0.7874015748031497" right="1.1811023622047245" top="0.984251968503937" bottom="0.984251968503937" header="0.5118110236220472" footer="0.5118110236220472"/>
  <pageSetup horizontalDpi="600" verticalDpi="600" orientation="landscape" paperSize="9" scale="83" r:id="rId3"/>
  <rowBreaks count="1" manualBreakCount="1">
    <brk id="41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D1" sqref="D1"/>
    </sheetView>
  </sheetViews>
  <sheetFormatPr defaultColWidth="9.00390625" defaultRowHeight="12.75"/>
  <cols>
    <col min="2" max="2" width="4.00390625" style="0" customWidth="1"/>
    <col min="3" max="3" width="35.00390625" style="0" customWidth="1"/>
    <col min="4" max="4" width="24.875" style="0" customWidth="1"/>
    <col min="5" max="5" width="22.125" style="0" customWidth="1"/>
    <col min="6" max="6" width="21.00390625" style="0" customWidth="1"/>
  </cols>
  <sheetData>
    <row r="2" spans="6:8" ht="15">
      <c r="F2" s="68"/>
      <c r="H2" s="886"/>
    </row>
    <row r="3" ht="23.25">
      <c r="B3" s="887" t="s">
        <v>1139</v>
      </c>
    </row>
    <row r="4" spans="2:6" ht="15.75">
      <c r="B4" s="738"/>
      <c r="F4" s="62" t="s">
        <v>1162</v>
      </c>
    </row>
    <row r="5" ht="13.5" thickBot="1"/>
    <row r="6" spans="2:8" s="738" customFormat="1" ht="16.5" thickBot="1">
      <c r="B6" s="888" t="s">
        <v>1140</v>
      </c>
      <c r="C6" s="889"/>
      <c r="D6" s="890" t="s">
        <v>1141</v>
      </c>
      <c r="E6" s="891" t="s">
        <v>1142</v>
      </c>
      <c r="F6" s="892" t="s">
        <v>68</v>
      </c>
      <c r="H6" s="893"/>
    </row>
    <row r="7" spans="2:8" ht="15.75">
      <c r="B7" s="894" t="s">
        <v>700</v>
      </c>
      <c r="C7" s="895" t="s">
        <v>1143</v>
      </c>
      <c r="D7" s="896">
        <v>1057976</v>
      </c>
      <c r="E7" s="896">
        <v>91000</v>
      </c>
      <c r="F7" s="897">
        <f aca="true" t="shared" si="0" ref="F7:F28">SUM(D7:E7)</f>
        <v>1148976</v>
      </c>
      <c r="H7" s="898"/>
    </row>
    <row r="8" spans="2:8" ht="15.75">
      <c r="B8" s="899" t="s">
        <v>702</v>
      </c>
      <c r="C8" s="900" t="s">
        <v>1144</v>
      </c>
      <c r="D8" s="901">
        <v>2865234</v>
      </c>
      <c r="E8" s="901">
        <v>130865</v>
      </c>
      <c r="F8" s="902">
        <f t="shared" si="0"/>
        <v>2996099</v>
      </c>
      <c r="H8" s="903"/>
    </row>
    <row r="9" spans="2:8" ht="15.75">
      <c r="B9" s="899" t="s">
        <v>704</v>
      </c>
      <c r="C9" s="900" t="s">
        <v>1145</v>
      </c>
      <c r="D9" s="901">
        <v>2156882</v>
      </c>
      <c r="E9" s="901">
        <v>164000</v>
      </c>
      <c r="F9" s="902">
        <f t="shared" si="0"/>
        <v>2320882</v>
      </c>
      <c r="H9" s="903"/>
    </row>
    <row r="10" spans="2:8" ht="15.75">
      <c r="B10" s="899" t="s">
        <v>706</v>
      </c>
      <c r="C10" s="900" t="s">
        <v>997</v>
      </c>
      <c r="D10" s="904">
        <v>2019181</v>
      </c>
      <c r="E10" s="901">
        <v>1001000</v>
      </c>
      <c r="F10" s="902">
        <f t="shared" si="0"/>
        <v>3020181</v>
      </c>
      <c r="H10" s="903"/>
    </row>
    <row r="11" spans="2:8" ht="15.75">
      <c r="B11" s="899" t="s">
        <v>708</v>
      </c>
      <c r="C11" s="900" t="s">
        <v>1146</v>
      </c>
      <c r="D11" s="901">
        <v>2917221</v>
      </c>
      <c r="E11" s="901">
        <v>189000</v>
      </c>
      <c r="F11" s="902">
        <f t="shared" si="0"/>
        <v>3106221</v>
      </c>
      <c r="H11" s="903"/>
    </row>
    <row r="12" spans="2:8" ht="15.75">
      <c r="B12" s="899" t="s">
        <v>710</v>
      </c>
      <c r="C12" s="900" t="s">
        <v>1147</v>
      </c>
      <c r="D12" s="901">
        <v>856575</v>
      </c>
      <c r="E12" s="901">
        <v>70000</v>
      </c>
      <c r="F12" s="902">
        <f t="shared" si="0"/>
        <v>926575</v>
      </c>
      <c r="H12" s="903"/>
    </row>
    <row r="13" spans="2:8" ht="15.75">
      <c r="B13" s="899" t="s">
        <v>712</v>
      </c>
      <c r="C13" s="900" t="s">
        <v>1148</v>
      </c>
      <c r="D13" s="901">
        <v>5272184</v>
      </c>
      <c r="E13" s="901">
        <v>317000</v>
      </c>
      <c r="F13" s="902">
        <f t="shared" si="0"/>
        <v>5589184</v>
      </c>
      <c r="H13" s="903"/>
    </row>
    <row r="14" spans="2:8" ht="15.75">
      <c r="B14" s="899" t="s">
        <v>714</v>
      </c>
      <c r="C14" s="900" t="s">
        <v>1077</v>
      </c>
      <c r="D14" s="901">
        <v>1643186</v>
      </c>
      <c r="E14" s="901">
        <v>99000</v>
      </c>
      <c r="F14" s="902">
        <f t="shared" si="0"/>
        <v>1742186</v>
      </c>
      <c r="H14" s="903"/>
    </row>
    <row r="15" spans="2:8" ht="15.75">
      <c r="B15" s="899" t="s">
        <v>716</v>
      </c>
      <c r="C15" s="900" t="s">
        <v>1149</v>
      </c>
      <c r="D15" s="901">
        <v>4062290</v>
      </c>
      <c r="E15" s="901">
        <v>294000</v>
      </c>
      <c r="F15" s="902">
        <f t="shared" si="0"/>
        <v>4356290</v>
      </c>
      <c r="H15" s="903"/>
    </row>
    <row r="16" spans="2:8" ht="15.75">
      <c r="B16" s="899" t="s">
        <v>718</v>
      </c>
      <c r="C16" s="900" t="s">
        <v>1150</v>
      </c>
      <c r="D16" s="901">
        <v>3546748</v>
      </c>
      <c r="E16" s="901">
        <v>189000</v>
      </c>
      <c r="F16" s="902">
        <f t="shared" si="0"/>
        <v>3735748</v>
      </c>
      <c r="H16" s="903"/>
    </row>
    <row r="17" spans="2:8" ht="15.75">
      <c r="B17" s="899" t="s">
        <v>720</v>
      </c>
      <c r="C17" s="900" t="s">
        <v>1065</v>
      </c>
      <c r="D17" s="901">
        <v>2987272</v>
      </c>
      <c r="E17" s="901">
        <v>196000</v>
      </c>
      <c r="F17" s="902">
        <f t="shared" si="0"/>
        <v>3183272</v>
      </c>
      <c r="H17" s="903"/>
    </row>
    <row r="18" spans="2:8" ht="15.75">
      <c r="B18" s="899" t="s">
        <v>722</v>
      </c>
      <c r="C18" s="900" t="s">
        <v>1151</v>
      </c>
      <c r="D18" s="901">
        <v>2908378</v>
      </c>
      <c r="E18" s="901">
        <v>501000</v>
      </c>
      <c r="F18" s="902">
        <f t="shared" si="0"/>
        <v>3409378</v>
      </c>
      <c r="H18" s="903"/>
    </row>
    <row r="19" spans="2:8" ht="15.75">
      <c r="B19" s="899" t="s">
        <v>724</v>
      </c>
      <c r="C19" s="900" t="s">
        <v>1152</v>
      </c>
      <c r="D19" s="901">
        <v>1309009</v>
      </c>
      <c r="E19" s="901">
        <v>170000</v>
      </c>
      <c r="F19" s="902">
        <f t="shared" si="0"/>
        <v>1479009</v>
      </c>
      <c r="H19" s="898"/>
    </row>
    <row r="20" spans="2:8" ht="15.75">
      <c r="B20" s="899" t="s">
        <v>726</v>
      </c>
      <c r="C20" s="900" t="s">
        <v>1153</v>
      </c>
      <c r="D20" s="901">
        <v>4203893</v>
      </c>
      <c r="E20" s="905">
        <v>312933.8</v>
      </c>
      <c r="F20" s="906">
        <f t="shared" si="0"/>
        <v>4516826.8</v>
      </c>
      <c r="H20" s="898"/>
    </row>
    <row r="21" spans="2:8" ht="15.75">
      <c r="B21" s="899" t="s">
        <v>728</v>
      </c>
      <c r="C21" s="900" t="s">
        <v>1154</v>
      </c>
      <c r="D21" s="901">
        <v>1385845</v>
      </c>
      <c r="E21" s="901">
        <v>80000</v>
      </c>
      <c r="F21" s="902">
        <f t="shared" si="0"/>
        <v>1465845</v>
      </c>
      <c r="H21" s="898"/>
    </row>
    <row r="22" spans="2:8" ht="15.75">
      <c r="B22" s="899" t="s">
        <v>730</v>
      </c>
      <c r="C22" s="900" t="s">
        <v>1155</v>
      </c>
      <c r="D22" s="901">
        <v>2909990</v>
      </c>
      <c r="E22" s="901">
        <v>184200</v>
      </c>
      <c r="F22" s="902">
        <f t="shared" si="0"/>
        <v>3094190</v>
      </c>
      <c r="H22" s="903"/>
    </row>
    <row r="23" spans="2:8" ht="15.75">
      <c r="B23" s="899" t="s">
        <v>732</v>
      </c>
      <c r="C23" s="900" t="s">
        <v>1156</v>
      </c>
      <c r="D23" s="901">
        <v>2243246</v>
      </c>
      <c r="E23" s="901">
        <v>157000</v>
      </c>
      <c r="F23" s="902">
        <f t="shared" si="0"/>
        <v>2400246</v>
      </c>
      <c r="H23" s="898"/>
    </row>
    <row r="24" spans="2:8" ht="15.75">
      <c r="B24" s="899" t="s">
        <v>734</v>
      </c>
      <c r="C24" s="900" t="s">
        <v>1157</v>
      </c>
      <c r="D24" s="901">
        <v>2947622</v>
      </c>
      <c r="E24" s="901">
        <v>230000</v>
      </c>
      <c r="F24" s="902">
        <f t="shared" si="0"/>
        <v>3177622</v>
      </c>
      <c r="H24" s="898"/>
    </row>
    <row r="25" spans="2:8" ht="15.75">
      <c r="B25" s="899" t="s">
        <v>736</v>
      </c>
      <c r="C25" s="900" t="s">
        <v>1158</v>
      </c>
      <c r="D25" s="901">
        <v>1162221</v>
      </c>
      <c r="E25" s="901">
        <v>135000</v>
      </c>
      <c r="F25" s="902">
        <f t="shared" si="0"/>
        <v>1297221</v>
      </c>
      <c r="H25" s="898"/>
    </row>
    <row r="26" spans="2:8" ht="15.75">
      <c r="B26" s="899" t="s">
        <v>738</v>
      </c>
      <c r="C26" s="900" t="s">
        <v>1159</v>
      </c>
      <c r="D26" s="901">
        <v>3732940</v>
      </c>
      <c r="E26" s="901">
        <v>953100</v>
      </c>
      <c r="F26" s="902">
        <f t="shared" si="0"/>
        <v>4686040</v>
      </c>
      <c r="H26" s="898"/>
    </row>
    <row r="27" spans="2:8" ht="15.75">
      <c r="B27" s="899" t="s">
        <v>740</v>
      </c>
      <c r="C27" s="900" t="s">
        <v>1160</v>
      </c>
      <c r="D27" s="901">
        <v>1214921</v>
      </c>
      <c r="E27" s="901">
        <v>85000</v>
      </c>
      <c r="F27" s="902">
        <f t="shared" si="0"/>
        <v>1299921</v>
      </c>
      <c r="H27" s="898"/>
    </row>
    <row r="28" spans="2:8" ht="16.5" thickBot="1">
      <c r="B28" s="907" t="s">
        <v>741</v>
      </c>
      <c r="C28" s="908" t="s">
        <v>1161</v>
      </c>
      <c r="D28" s="909">
        <v>839533</v>
      </c>
      <c r="E28" s="909">
        <v>48000</v>
      </c>
      <c r="F28" s="910">
        <f t="shared" si="0"/>
        <v>887533</v>
      </c>
      <c r="H28" s="898"/>
    </row>
    <row r="29" spans="2:8" s="738" customFormat="1" ht="16.5" thickBot="1">
      <c r="B29" s="888" t="s">
        <v>68</v>
      </c>
      <c r="C29" s="889"/>
      <c r="D29" s="911">
        <f>SUM(D7:D28)</f>
        <v>54242347</v>
      </c>
      <c r="E29" s="912">
        <f>SUM(E7:E28)</f>
        <v>5597098.8</v>
      </c>
      <c r="F29" s="913">
        <f>SUM(F7:F28)</f>
        <v>59839445.8</v>
      </c>
      <c r="H29" s="9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Sliviakova</cp:lastModifiedBy>
  <cp:lastPrinted>2007-04-10T05:56:19Z</cp:lastPrinted>
  <dcterms:created xsi:type="dcterms:W3CDTF">1997-01-24T11:07:25Z</dcterms:created>
  <dcterms:modified xsi:type="dcterms:W3CDTF">2007-04-13T11:34:02Z</dcterms:modified>
  <cp:category/>
  <cp:version/>
  <cp:contentType/>
  <cp:contentStatus/>
</cp:coreProperties>
</file>